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465" windowWidth="19320" windowHeight="11760" tabRatio="943"/>
  </bookViews>
  <sheets>
    <sheet name="Voorblad" sheetId="13" r:id="rId1"/>
    <sheet name="Algemeen" sheetId="3" r:id="rId2"/>
    <sheet name="§5.1 Omgevingslicht" sheetId="12" r:id="rId3"/>
    <sheet name="§5.2 Globale evaluatie" sheetId="9" r:id="rId4"/>
    <sheet name="§5.3 Lmax en Lmin" sheetId="10" r:id="rId5"/>
    <sheet name="§5.4 Luminance response (GSDF)" sheetId="1" r:id="rId6"/>
    <sheet name="§5.5 Niet-uniformiteit" sheetId="8" r:id="rId7"/>
    <sheet name="§5.6 Kleuruniformiteit" sheetId="6" r:id="rId8"/>
    <sheet name="§5.7 Pixel fout evaluatie" sheetId="5" r:id="rId9"/>
    <sheet name="§5.8 Display resolution" sheetId="2" r:id="rId10"/>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C6" i="8" l="1"/>
  <c r="F32" i="5" l="1"/>
  <c r="F31" i="5"/>
  <c r="E32" i="5"/>
  <c r="B18" i="10"/>
  <c r="B20" i="10" s="1"/>
  <c r="J5" i="10" s="1"/>
  <c r="D21" i="3" s="1"/>
  <c r="C7" i="1"/>
  <c r="C6" i="1"/>
  <c r="C9" i="10"/>
  <c r="C8" i="10"/>
  <c r="C6" i="10"/>
  <c r="H22" i="6"/>
  <c r="H16" i="6"/>
  <c r="B17" i="10"/>
  <c r="I5" i="6"/>
  <c r="D24" i="3" s="1"/>
  <c r="G15" i="8"/>
  <c r="B16" i="12"/>
  <c r="D26" i="12"/>
  <c r="D30" i="12"/>
  <c r="D28" i="12"/>
  <c r="D27" i="12"/>
  <c r="D24" i="12"/>
  <c r="G23" i="8"/>
  <c r="G24" i="8"/>
  <c r="G14" i="8"/>
  <c r="J5" i="8"/>
  <c r="D23" i="3" s="1"/>
  <c r="H18" i="9"/>
  <c r="H27" i="9"/>
  <c r="H36" i="9"/>
  <c r="I5" i="9"/>
  <c r="D20" i="3" s="1"/>
  <c r="H24" i="2"/>
  <c r="I5" i="2"/>
  <c r="F30" i="5"/>
  <c r="F35" i="5" s="1"/>
  <c r="J6" i="5"/>
  <c r="E30" i="5"/>
  <c r="E35" i="5"/>
  <c r="E31" i="5"/>
  <c r="E33" i="5"/>
  <c r="F33" i="5"/>
  <c r="D26" i="3"/>
  <c r="J5" i="5"/>
  <c r="D25" i="3" s="1"/>
  <c r="C27" i="5"/>
  <c r="E25" i="5"/>
  <c r="D27" i="3"/>
  <c r="J34" i="1"/>
  <c r="K34" i="1"/>
  <c r="K38" i="1" s="1"/>
  <c r="J17" i="1"/>
  <c r="K17" i="1"/>
  <c r="K39" i="1" s="1"/>
  <c r="I18" i="1"/>
  <c r="I19" i="1"/>
  <c r="I20" i="1"/>
  <c r="I21" i="1"/>
  <c r="I22" i="1" s="1"/>
  <c r="I23" i="1" s="1"/>
  <c r="I24" i="1" s="1"/>
  <c r="I25" i="1" s="1"/>
  <c r="I26" i="1" s="1"/>
  <c r="I27" i="1" s="1"/>
  <c r="I28" i="1" s="1"/>
  <c r="I29" i="1" s="1"/>
  <c r="I30" i="1" s="1"/>
  <c r="I31" i="1" s="1"/>
  <c r="I32" i="1" s="1"/>
  <c r="I33" i="1" s="1"/>
  <c r="I34" i="1" s="1"/>
  <c r="E18" i="1"/>
  <c r="E19" i="1"/>
  <c r="E20" i="1"/>
  <c r="E21" i="1"/>
  <c r="E22" i="1"/>
  <c r="E23" i="1"/>
  <c r="E24" i="1"/>
  <c r="E25" i="1"/>
  <c r="E26" i="1"/>
  <c r="E27" i="1"/>
  <c r="E28" i="1"/>
  <c r="E29" i="1"/>
  <c r="E30" i="1"/>
  <c r="E31" i="1"/>
  <c r="E32" i="1"/>
  <c r="E33" i="1"/>
  <c r="E34" i="1"/>
  <c r="N16" i="1"/>
  <c r="M16" i="1"/>
  <c r="H18" i="1"/>
  <c r="H19" i="1"/>
  <c r="H20" i="1"/>
  <c r="H21" i="1"/>
  <c r="H22" i="1" s="1"/>
  <c r="H23" i="1" s="1"/>
  <c r="H24" i="1" s="1"/>
  <c r="H25" i="1" s="1"/>
  <c r="H26" i="1" s="1"/>
  <c r="H27" i="1" s="1"/>
  <c r="H28" i="1" s="1"/>
  <c r="H29" i="1" s="1"/>
  <c r="H30" i="1" s="1"/>
  <c r="H31" i="1" s="1"/>
  <c r="H32" i="1" s="1"/>
  <c r="H33" i="1" s="1"/>
  <c r="H34" i="1" s="1"/>
  <c r="D34" i="1"/>
  <c r="B18" i="1"/>
  <c r="B19" i="1"/>
  <c r="B20" i="1" s="1"/>
  <c r="B21" i="1" s="1"/>
  <c r="B22" i="1" s="1"/>
  <c r="B23" i="1" s="1"/>
  <c r="B24" i="1" s="1"/>
  <c r="B25" i="1" s="1"/>
  <c r="B26" i="1" s="1"/>
  <c r="B27" i="1" s="1"/>
  <c r="B28" i="1" s="1"/>
  <c r="B29" i="1" s="1"/>
  <c r="B30" i="1" s="1"/>
  <c r="B31" i="1" s="1"/>
  <c r="B32" i="1" s="1"/>
  <c r="B33" i="1" s="1"/>
  <c r="B34" i="1" s="1"/>
  <c r="A18" i="1"/>
  <c r="A19" i="1" s="1"/>
  <c r="A20" i="1" s="1"/>
  <c r="A21" i="1" s="1"/>
  <c r="A22" i="1" s="1"/>
  <c r="A23" i="1" s="1"/>
  <c r="A24" i="1" s="1"/>
  <c r="A25" i="1" s="1"/>
  <c r="A26" i="1" s="1"/>
  <c r="A27" i="1" s="1"/>
  <c r="A28" i="1" s="1"/>
  <c r="A29" i="1" s="1"/>
  <c r="A30" i="1" s="1"/>
  <c r="A31" i="1" s="1"/>
  <c r="A32" i="1" s="1"/>
  <c r="A33" i="1" s="1"/>
  <c r="A34" i="1" s="1"/>
  <c r="D33" i="1"/>
  <c r="D32" i="1"/>
  <c r="D31" i="1"/>
  <c r="D30" i="1"/>
  <c r="D29" i="1"/>
  <c r="D28" i="1"/>
  <c r="D27" i="1"/>
  <c r="D26" i="1"/>
  <c r="D25" i="1"/>
  <c r="D24" i="1"/>
  <c r="D23" i="1"/>
  <c r="D22" i="1"/>
  <c r="D21" i="1"/>
  <c r="D20" i="1"/>
  <c r="D19" i="1"/>
  <c r="D18" i="1"/>
  <c r="D17" i="1"/>
  <c r="K24" i="1" l="1"/>
  <c r="J24" i="1" s="1"/>
  <c r="K32" i="1"/>
  <c r="J32" i="1" s="1"/>
  <c r="L32" i="1" s="1"/>
  <c r="K25" i="1"/>
  <c r="J25" i="1" s="1"/>
  <c r="L25" i="1" s="1"/>
  <c r="K30" i="1"/>
  <c r="J30" i="1" s="1"/>
  <c r="K21" i="1"/>
  <c r="J21" i="1" s="1"/>
  <c r="K29" i="1"/>
  <c r="J29" i="1" s="1"/>
  <c r="L29" i="1" s="1"/>
  <c r="K18" i="1"/>
  <c r="J18" i="1" s="1"/>
  <c r="L18" i="1" s="1"/>
  <c r="K26" i="1"/>
  <c r="J26" i="1" s="1"/>
  <c r="K22" i="1"/>
  <c r="J22" i="1" s="1"/>
  <c r="L22" i="1" s="1"/>
  <c r="K23" i="1"/>
  <c r="J23" i="1" s="1"/>
  <c r="L23" i="1" s="1"/>
  <c r="K31" i="1"/>
  <c r="J31" i="1" s="1"/>
  <c r="L31" i="1" s="1"/>
  <c r="K20" i="1"/>
  <c r="J20" i="1" s="1"/>
  <c r="K28" i="1"/>
  <c r="J28" i="1" s="1"/>
  <c r="K33" i="1"/>
  <c r="J33" i="1" s="1"/>
  <c r="K19" i="1"/>
  <c r="J19" i="1" s="1"/>
  <c r="L19" i="1" s="1"/>
  <c r="K27" i="1"/>
  <c r="J27" i="1" s="1"/>
  <c r="L27" i="1" s="1"/>
  <c r="F25" i="1" l="1"/>
  <c r="N25" i="1"/>
  <c r="M25" i="1"/>
  <c r="M27" i="1"/>
  <c r="F27" i="1"/>
  <c r="N27" i="1"/>
  <c r="L26" i="1"/>
  <c r="M19" i="1"/>
  <c r="F19" i="1"/>
  <c r="N19" i="1"/>
  <c r="N18" i="1"/>
  <c r="M18" i="1"/>
  <c r="F18" i="1"/>
  <c r="M31" i="1"/>
  <c r="N31" i="1"/>
  <c r="F31" i="1"/>
  <c r="M29" i="1"/>
  <c r="F29" i="1"/>
  <c r="N29" i="1"/>
  <c r="L28" i="1"/>
  <c r="L21" i="1"/>
  <c r="L34" i="1"/>
  <c r="L33" i="1"/>
  <c r="L20" i="1"/>
  <c r="L30" i="1"/>
  <c r="N32" i="1"/>
  <c r="F32" i="1"/>
  <c r="M32" i="1"/>
  <c r="M23" i="1"/>
  <c r="N23" i="1"/>
  <c r="F23" i="1"/>
  <c r="F22" i="1"/>
  <c r="N22" i="1"/>
  <c r="M22" i="1"/>
  <c r="L24" i="1"/>
  <c r="F20" i="1" l="1"/>
  <c r="K5" i="1" s="1"/>
  <c r="D22" i="3" s="1"/>
  <c r="M20" i="1"/>
  <c r="N20" i="1"/>
  <c r="M33" i="1"/>
  <c r="F33" i="1"/>
  <c r="N33" i="1"/>
  <c r="N26" i="1"/>
  <c r="F26" i="1"/>
  <c r="M26" i="1"/>
  <c r="F28" i="1"/>
  <c r="N28" i="1"/>
  <c r="M28" i="1"/>
  <c r="N34" i="1"/>
  <c r="M34" i="1"/>
  <c r="F34" i="1"/>
  <c r="M21" i="1"/>
  <c r="F21" i="1"/>
  <c r="N21" i="1"/>
  <c r="M24" i="1"/>
  <c r="N24" i="1"/>
  <c r="F24" i="1"/>
  <c r="F30" i="1"/>
  <c r="N30" i="1"/>
  <c r="M30" i="1"/>
</calcChain>
</file>

<file path=xl/sharedStrings.xml><?xml version="1.0" encoding="utf-8"?>
<sst xmlns="http://schemas.openxmlformats.org/spreadsheetml/2006/main" count="298" uniqueCount="165">
  <si>
    <t>Measured luminance values:</t>
  </si>
  <si>
    <t>DICOM 3.14 standard:</t>
  </si>
  <si>
    <t>testpattern</t>
  </si>
  <si>
    <t>Luminance</t>
  </si>
  <si>
    <t>JND</t>
  </si>
  <si>
    <t>deviation compared</t>
  </si>
  <si>
    <t>dL/L</t>
  </si>
  <si>
    <t>TG18-LN12-#</t>
  </si>
  <si>
    <t>p-value</t>
  </si>
  <si>
    <t>L</t>
  </si>
  <si>
    <t>j(L)</t>
  </si>
  <si>
    <t>to DICOM (%)</t>
  </si>
  <si>
    <t>Result contrast response left monitor:</t>
  </si>
  <si>
    <t>lineair relation between p-value and JND:</t>
  </si>
  <si>
    <t>a:</t>
  </si>
  <si>
    <t>b:</t>
  </si>
  <si>
    <t>Result relation between p-value and JND-index:</t>
  </si>
  <si>
    <t>Left Monitor</t>
  </si>
  <si>
    <t>Instellingen</t>
  </si>
  <si>
    <t>Type monitor:</t>
  </si>
  <si>
    <t>Linker monitor:</t>
  </si>
  <si>
    <t>Resultaat</t>
  </si>
  <si>
    <t>Label grafiek:</t>
  </si>
  <si>
    <t>Grenswaarden (+/- %):</t>
  </si>
  <si>
    <t>Upper</t>
  </si>
  <si>
    <t>Lower</t>
  </si>
  <si>
    <t>Horizontale testpatronen (TG18 LPH)</t>
  </si>
  <si>
    <t>Uitvoering</t>
  </si>
  <si>
    <t>Opmerkingen</t>
  </si>
  <si>
    <t>Zijn alle lijnpatronen in het testpatroon TG18 LPH10 zichtbaar?</t>
  </si>
  <si>
    <t>Zijn alle lijnpatronen in het testpatroon TG18 LPH50 zichtbaar?</t>
  </si>
  <si>
    <t>Zijn alle lijnpatronen in het testpatroon TG18 LPH89 zichtbaar?</t>
  </si>
  <si>
    <t>Verticale testpatronen (TG18 LPV)</t>
  </si>
  <si>
    <t>Zijn alle lijnpatronen in het testpatroon TG18 LPV10 zichtbaar?</t>
  </si>
  <si>
    <t>Zijn alle lijnpatronen in het testpatroon TG18 LPV50 zichtbaar?</t>
  </si>
  <si>
    <t>Zijn alle lijnpatronen in het testpatroon TG18 LPV89 zichtbaar?</t>
  </si>
  <si>
    <t>Conclusie:</t>
  </si>
  <si>
    <t>Meting</t>
  </si>
  <si>
    <t>Grenswaarden:</t>
  </si>
  <si>
    <t>NB alleen voor diagnostisch primaire monitoren gedefinieerd</t>
  </si>
  <si>
    <t>Alle lijnpatronen moeten zichtbaar zijn</t>
  </si>
  <si>
    <t>Overzicht</t>
  </si>
  <si>
    <t>Algemeen</t>
  </si>
  <si>
    <t>Datum:</t>
  </si>
  <si>
    <t>Naam tester:</t>
  </si>
  <si>
    <t>Monitor</t>
  </si>
  <si>
    <t>Merk:</t>
  </si>
  <si>
    <t>Type:</t>
  </si>
  <si>
    <t>Serienummer:</t>
  </si>
  <si>
    <t>Locatie:</t>
  </si>
  <si>
    <t>Test</t>
  </si>
  <si>
    <t>Details monitor</t>
  </si>
  <si>
    <t>Aantal horizontale pixels:</t>
  </si>
  <si>
    <t>pixels</t>
  </si>
  <si>
    <t>Aantal verticale pixels:</t>
  </si>
  <si>
    <t>PFF</t>
  </si>
  <si>
    <t>Fout categorie</t>
  </si>
  <si>
    <t>Aantal gevonden dode pixels</t>
  </si>
  <si>
    <t>Locatie dode pixel (omschrijving)</t>
  </si>
  <si>
    <t>IEC</t>
  </si>
  <si>
    <t>DIN</t>
  </si>
  <si>
    <t>Categorie A</t>
  </si>
  <si>
    <t>Categorie B</t>
  </si>
  <si>
    <t>Categorie C</t>
  </si>
  <si>
    <t>Categorie D</t>
  </si>
  <si>
    <t>Maximaal aantal dode pixels</t>
  </si>
  <si>
    <t>&lt;= 1</t>
  </si>
  <si>
    <t>&lt;= 2</t>
  </si>
  <si>
    <t>None in the same cluster</t>
  </si>
  <si>
    <t>1 x PFF</t>
  </si>
  <si>
    <t>5 x PFF</t>
  </si>
  <si>
    <t>Grenswaarden IEC:</t>
  </si>
  <si>
    <t>Grenswaarden DIN:</t>
  </si>
  <si>
    <t>Werkplek met 1 monitor</t>
  </si>
  <si>
    <t>Zijn er niet uniforme gebieden van ± 1 cm en groter zichtbaar?</t>
  </si>
  <si>
    <t>Werkplek met meerdere monitoren</t>
  </si>
  <si>
    <t>Aanvullende test</t>
  </si>
  <si>
    <t>Aan alle onderstaande eisen moet worden voldaan</t>
  </si>
  <si>
    <t>Overzicht resultaten</t>
  </si>
  <si>
    <t>TG18 UNL10</t>
  </si>
  <si>
    <t>upper left</t>
  </si>
  <si>
    <t>Cd/m2</t>
  </si>
  <si>
    <t>max. luminance afwijking:</t>
  </si>
  <si>
    <t>upper right</t>
  </si>
  <si>
    <t>afwijking hoeken:</t>
  </si>
  <si>
    <t>centre</t>
  </si>
  <si>
    <t>bottom left</t>
  </si>
  <si>
    <t>bottom right</t>
  </si>
  <si>
    <t>TG18 UNL80</t>
  </si>
  <si>
    <t>Grenswaarden (max):</t>
  </si>
  <si>
    <t>Algemene beeldkwaliteit en artefacten</t>
  </si>
  <si>
    <t>Staat het testpatroon gecentreerd in het midden van het actieve gedeelte van de monitor?</t>
  </si>
  <si>
    <t>Is het gehele testpatroon vrij van afwijkende patronen, flikkeringen, trillingen, ruis, afwijkingen in uniformiteit en artefacten?</t>
  </si>
  <si>
    <t>Gaan de grijswiggen staploos over van wit naar zwart. Zie figuur, onderdeel 1.</t>
  </si>
  <si>
    <t>Zijn de zwart-naar-wit en wit-naar-zwart overgangen duidelijk? Indien dit niet zo is, kan dat duiden op een ontoereikende bit diepte. Zie figuur, onderdeel 2.</t>
  </si>
  <si>
    <t>Lopen alle horizontale en verticale lijnen recht?</t>
  </si>
  <si>
    <t>Helderheid, reflectie, ruis en glare</t>
  </si>
  <si>
    <t>Zijn alle 16 contrastblokken afzonderlijk zichtbaar? Zie figuur, onderdeel 3.</t>
  </si>
  <si>
    <t>Luminantie response: Zijn alle kleine vierkantjes (figuur, onderdeel 4) in de hoeken van de 16 contrastblokken (figuur, onderdeel 3) zichtbaar? Doe dit in ieder geval voor de 97, 78, 59, 41, 22% en 9% contrastblokken (zie * in figuur, onderdeel 3).</t>
  </si>
  <si>
    <t>Zijn de 5% blokje en 95% blokjes met hetzelfde contrastperceptie zichtbaar? Zie figuur, onderdeel 5.</t>
  </si>
  <si>
    <t>Resolutie</t>
  </si>
  <si>
    <t>Zijn de hoog contrast lijnpaarpatronen in de 4 hoeken en in het centrum van het testpatroon afzonderlijk zichtbaar? Zie figuur, onderdeel 7.</t>
  </si>
  <si>
    <t>Worden de hoog contrast lijnpaarpatronen in de 4 hoeken en in het centrum van het testpatroon flikkervrij weergegeven? Zie figuur, onderdeel 7.</t>
  </si>
  <si>
    <t>Zijn de laag contrast lijnpaarpatronen in de 4 hoeken en in het centrum van het testpatroon afzonderlijk zichtbaar? Zie figuur, onderdeel 8.</t>
  </si>
  <si>
    <t>Worden de laag contrast lijnpaarpatronen in de 4 hoeken en in het centrum van het testpatroon flikkervrij weergegeven? Zie figuur, onderdeel 8.</t>
  </si>
  <si>
    <t>Luminance ratio</t>
  </si>
  <si>
    <t>Conclusie</t>
  </si>
  <si>
    <t>Grenswaarden (Lmax, min):</t>
  </si>
  <si>
    <t>Grenswaarden (L'min, max):</t>
  </si>
  <si>
    <t>Grenswaarden (LR, min):</t>
  </si>
  <si>
    <t>Lmax (Cd/m2)</t>
  </si>
  <si>
    <t>Lmin (Cd/m2)</t>
  </si>
  <si>
    <t>Lamb (Cd/m2)</t>
  </si>
  <si>
    <t>L'min (Cd/m2)</t>
  </si>
  <si>
    <t>§5.2 Globale evaluatie</t>
  </si>
  <si>
    <t>§5.3 Lmax en Lmin</t>
  </si>
  <si>
    <t>§5.4 Luminance response: DICOM Grayscale Standard Display Function</t>
  </si>
  <si>
    <t>§5.5 Niet-uniformiteit</t>
  </si>
  <si>
    <t>§5.6 Kleuruniformiteit</t>
  </si>
  <si>
    <t>§5.7 Pixel fout evaluatie</t>
  </si>
  <si>
    <t>§5.8 Display resolution</t>
  </si>
  <si>
    <t>Opmerking / probleem / oplossing</t>
  </si>
  <si>
    <t>§5.1 Omgevingslicht</t>
  </si>
  <si>
    <t>RC</t>
  </si>
  <si>
    <t>Lamb</t>
  </si>
  <si>
    <t>cd/m2</t>
  </si>
  <si>
    <t>Voorbeeld:</t>
  </si>
  <si>
    <t xml:space="preserve">Verlichtingssterkte </t>
  </si>
  <si>
    <t>(Lux)</t>
  </si>
  <si>
    <t>Directe meting</t>
  </si>
  <si>
    <t>Indirecte meting</t>
  </si>
  <si>
    <t>Meting 1</t>
  </si>
  <si>
    <t>Meting 2</t>
  </si>
  <si>
    <t>Meting 3</t>
  </si>
  <si>
    <t>Gemiddeld</t>
  </si>
  <si>
    <t>In dit tabblad worden geen grenswaarden gespecificeerd. De gevonden waarde voor het omgevingslicht wordt meegenomen in het tabblad Lmax en Lmin.</t>
  </si>
  <si>
    <t>Reflectiecoëfficiënt</t>
  </si>
  <si>
    <t>Iedere monitor heeft eigen een specifieke RC. De RC is bij de fabrikant op te vragen.</t>
  </si>
  <si>
    <t>Slechts een van onderstaande metingen hoeft ingevuld te worden.</t>
  </si>
  <si>
    <t>$5.2 Globale evaluatie</t>
  </si>
  <si>
    <t>$5.6 Kleuruniformiteit</t>
  </si>
  <si>
    <t>$5.7 Pixel fout evaluatie volgens IEC</t>
  </si>
  <si>
    <t>$5.7 Pixel fout evaluatie volgens DIN</t>
  </si>
  <si>
    <t>$5.8 Display resolution</t>
  </si>
  <si>
    <t>NB Alle gele velden dienen ingevuld te worden.</t>
  </si>
  <si>
    <t>Uitwerkingen werkblad</t>
  </si>
  <si>
    <t>$5.3 Lmax en Lmin</t>
  </si>
  <si>
    <t>$5.4 Luminance response</t>
  </si>
  <si>
    <t>$5.5 Niet-uniformiteit</t>
  </si>
  <si>
    <t>Display runtime:</t>
  </si>
  <si>
    <t>Backlight runtime:</t>
  </si>
  <si>
    <t>Lamp</t>
  </si>
  <si>
    <t>&lt;&lt; kies &gt;&gt;</t>
  </si>
  <si>
    <t>LET OP: zorg voordat de meting wordt uitgevoerd dat de monitor zonder omgevingslicht correctie is gekalibreerd! Zie WAD protocol §5.4.8.</t>
  </si>
  <si>
    <t>Zijn er waarneembare kleurverschillen tussen de verschillende gebieden van de monitor?</t>
  </si>
  <si>
    <t>Zijn er aarneembare kleurverschillen tussen de verschillende gebieden van de monitor onder verschillende hoeken (tot ongeveer 45° van de midden-as in alle richtingen (onder, boven, links en rechts)?</t>
  </si>
  <si>
    <t>Zijn er waarneembare kleurverschillen tussen de verschillende monitoren op de werkplek?</t>
  </si>
  <si>
    <t>Tekst QUALITY CONTROL:
- Mammo: volledige tekst moet zichtbaar zijn in het witte en grijze vlak. 
- Diagnostisch: minimaal zichtbaar tot en met ‘CONTRO’
- Review: minimaal zichtbaar tot en met ‘CONTR’
in het witte, grijze en zwarte vlak. Zie figuur, onderdeel 6.</t>
  </si>
  <si>
    <t>Mammografie</t>
  </si>
  <si>
    <t>DISCLAIMER:</t>
  </si>
  <si>
    <t>De auteursrechten liggen bij de auteurs genoemd bij elk hoofdstuk en de NVKF. Er mogen geen teksten of tekstdelen worden overgenomen dan na uitdrukkelijke toestemming van deze auteurs en steeds met volledige bronverwijzing naar deze Aanbevelingen.</t>
  </si>
  <si>
    <t>Dit document geeft een overzicht van tests en controles die beschikbaar zijn om de werking en performance van beeldvormende systemen te controleren. Door de continue evolutie van de techniek verandert het palet aan testen. Het overzicht is daarom niet uitputtend en geschreven op de stand van de techniek van eind 2015.</t>
  </si>
  <si>
    <t>De gegeven aanbevelingen zijn, om bovengenoemde redenen, beperkt in hun reikwijdte: ze hebben een algemeen karakter en kunnen niet zonder meer worden toegepast in elke situatie. Welke combinatie van tests in de praktijk gebruikt zal worden hangt af van de wijze van gebruik en de specifieke eigenschappen van het te controleren systeem. Dit document beoogt de informatie aan te leveren die de klinisch fysicus ondersteuning biedt bij het, zo nodig in overleg met de gebruikers, zelfstandig opstellen van een verantwoord locatie-specifiek programma voor acceptatie en kwaliteitscontrole. De klinisch fysicus en de instelling zal altijd zelf verantwoordelijk zijn en blijven bij de keuze om deze aanbevelingen geheel of ten dele na te volgen.</t>
  </si>
  <si>
    <t>De NVKF en de auteurs sluiten iedere aansprakelijkheid in verband met het in deze aanbevelingen gestelde, uit welke hoofde ook, uit.</t>
  </si>
  <si>
    <t>NVKF Leidraad Kwaliteitscontrole Diagnostische Monitoren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</si>
</sst>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7">
    <font>
      <sz val="10"/>
      <name val="Arial"/>
    </font>
    <font>
      <b/>
      <u/>
      <sz val="10"/>
      <name val="Arial"/>
      <family val="2"/>
    </font>
    <font>
      <b/>
      <sz val="10"/>
      <color indexed="8"/>
      <name val="Arial"/>
      <family val="2"/>
    </font>
    <font>
      <sz val="10"/>
      <color indexed="8"/>
      <name val="Albany"/>
      <family val="2"/>
    </font>
    <font>
      <b/>
      <sz val="10"/>
      <name val="Arial"/>
      <family val="2"/>
    </font>
    <font>
      <sz val="10"/>
      <color indexed="8"/>
      <name val="Arial"/>
      <family val="2"/>
    </font>
    <font>
      <b/>
      <sz val="11"/>
      <name val="Arial"/>
      <family val="2"/>
    </font>
    <font>
      <u/>
      <sz val="10"/>
      <color theme="10"/>
      <name val="Arial"/>
      <family val="2"/>
    </font>
    <font>
      <u/>
      <sz val="10"/>
      <color theme="11"/>
      <name val="Arial"/>
      <family val="2"/>
    </font>
    <font>
      <b/>
      <sz val="12"/>
      <color indexed="8"/>
      <name val="Arial"/>
      <family val="2"/>
    </font>
    <font>
      <b/>
      <sz val="14"/>
      <name val="Arial"/>
      <family val="2"/>
    </font>
    <font>
      <b/>
      <sz val="16"/>
      <name val="Arial"/>
      <family val="2"/>
    </font>
    <font>
      <sz val="16"/>
      <name val="Arial"/>
      <family val="2"/>
    </font>
    <font>
      <sz val="14"/>
      <name val="Arial"/>
      <family val="2"/>
    </font>
    <font>
      <i/>
      <sz val="11"/>
      <name val="Arial"/>
      <family val="2"/>
    </font>
    <font>
      <sz val="11"/>
      <name val="Arial"/>
      <family val="2"/>
    </font>
    <font>
      <b/>
      <sz val="12"/>
      <name val="Arial"/>
      <family val="2"/>
    </font>
    <font>
      <i/>
      <sz val="10"/>
      <name val="Arial"/>
      <family val="2"/>
    </font>
    <font>
      <sz val="10"/>
      <name val="Arial"/>
      <family val="2"/>
    </font>
    <font>
      <b/>
      <sz val="8"/>
      <name val="Arial"/>
      <family val="2"/>
    </font>
    <font>
      <b/>
      <sz val="9"/>
      <name val="Arial"/>
      <family val="2"/>
    </font>
    <font>
      <b/>
      <sz val="10"/>
      <color indexed="8"/>
      <name val="Albany"/>
      <family val="2"/>
    </font>
    <font>
      <b/>
      <sz val="10"/>
      <color rgb="FF000000"/>
      <name val="Arial"/>
      <family val="2"/>
    </font>
    <font>
      <i/>
      <sz val="10"/>
      <color indexed="8"/>
      <name val="Arial"/>
      <family val="2"/>
    </font>
    <font>
      <b/>
      <i/>
      <sz val="11"/>
      <name val="Arial"/>
      <family val="2"/>
    </font>
    <font>
      <sz val="24"/>
      <color theme="3"/>
      <name val="Arial"/>
      <family val="2"/>
    </font>
    <font>
      <sz val="16"/>
      <color theme="3"/>
      <name val="Arial"/>
      <family val="2"/>
    </font>
  </fonts>
  <fills count="18">
    <fill>
      <patternFill patternType="none"/>
    </fill>
    <fill>
      <patternFill patternType="gray125"/>
    </fill>
    <fill>
      <patternFill patternType="solid">
        <fgColor theme="0"/>
        <bgColor indexed="64"/>
      </patternFill>
    </fill>
    <fill>
      <patternFill patternType="solid">
        <fgColor theme="0"/>
        <bgColor indexed="14"/>
      </patternFill>
    </fill>
    <fill>
      <patternFill patternType="solid">
        <fgColor theme="0" tint="-0.249977111117893"/>
        <bgColor indexed="14"/>
      </patternFill>
    </fill>
    <fill>
      <patternFill patternType="solid">
        <fgColor theme="0" tint="-0.249977111117893"/>
        <bgColor indexed="64"/>
      </patternFill>
    </fill>
    <fill>
      <patternFill patternType="solid">
        <fgColor theme="4"/>
        <bgColor indexed="14"/>
      </patternFill>
    </fill>
    <fill>
      <patternFill patternType="solid">
        <fgColor theme="4"/>
        <bgColor indexed="64"/>
      </patternFill>
    </fill>
    <fill>
      <patternFill patternType="solid">
        <fgColor theme="6"/>
        <bgColor indexed="64"/>
      </patternFill>
    </fill>
    <fill>
      <patternFill patternType="solid">
        <fgColor theme="9"/>
        <bgColor indexed="64"/>
      </patternFill>
    </fill>
    <fill>
      <patternFill patternType="solid">
        <fgColor theme="8"/>
        <bgColor indexed="64"/>
      </patternFill>
    </fill>
    <fill>
      <patternFill patternType="solid">
        <fgColor rgb="FFFFFF00"/>
        <bgColor indexed="64"/>
      </patternFill>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FFFF00"/>
        <bgColor indexed="14"/>
      </patternFill>
    </fill>
  </fills>
  <borders count="12">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bottom style="thin">
        <color auto="1"/>
      </bottom>
      <diagonal/>
    </border>
  </borders>
  <cellStyleXfs count="252">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18"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22">
    <xf numFmtId="0" fontId="0" fillId="0" borderId="0" xfId="0"/>
    <xf numFmtId="0" fontId="11" fillId="8" borderId="0" xfId="0" applyFont="1" applyFill="1" applyAlignment="1" applyProtection="1">
      <alignment vertical="center"/>
    </xf>
    <xf numFmtId="0" fontId="12" fillId="8" borderId="0" xfId="0" applyFont="1" applyFill="1" applyAlignment="1" applyProtection="1">
      <alignment vertical="center"/>
    </xf>
    <xf numFmtId="0" fontId="0" fillId="2" borderId="0" xfId="0" applyFill="1" applyProtection="1"/>
    <xf numFmtId="0" fontId="1" fillId="2" borderId="0" xfId="0" applyFont="1" applyFill="1" applyProtection="1"/>
    <xf numFmtId="0" fontId="6" fillId="9" borderId="0" xfId="0" applyFont="1" applyFill="1" applyAlignment="1" applyProtection="1">
      <alignment vertical="center"/>
    </xf>
    <xf numFmtId="0" fontId="0" fillId="9" borderId="0" xfId="0" applyFill="1" applyProtection="1"/>
    <xf numFmtId="0" fontId="0" fillId="10" borderId="2" xfId="0" applyFill="1" applyBorder="1" applyProtection="1"/>
    <xf numFmtId="0" fontId="0" fillId="10" borderId="3" xfId="0" applyFill="1" applyBorder="1" applyProtection="1"/>
    <xf numFmtId="0" fontId="2" fillId="2" borderId="0" xfId="0" applyFont="1" applyFill="1" applyAlignment="1" applyProtection="1">
      <alignment horizontal="left"/>
    </xf>
    <xf numFmtId="0" fontId="3" fillId="2" borderId="0" xfId="0" applyFont="1" applyFill="1" applyAlignment="1" applyProtection="1">
      <alignment horizontal="center"/>
    </xf>
    <xf numFmtId="0" fontId="0" fillId="10" borderId="0" xfId="0" applyFill="1" applyBorder="1" applyProtection="1"/>
    <xf numFmtId="0" fontId="0" fillId="10" borderId="5" xfId="0" applyFill="1" applyBorder="1" applyProtection="1"/>
    <xf numFmtId="165" fontId="0" fillId="2" borderId="0" xfId="0" applyNumberFormat="1" applyFill="1" applyProtection="1"/>
    <xf numFmtId="1" fontId="0" fillId="2" borderId="0" xfId="0" applyNumberFormat="1" applyFill="1" applyAlignment="1" applyProtection="1">
      <alignment horizontal="left"/>
    </xf>
    <xf numFmtId="0" fontId="0" fillId="2" borderId="0" xfId="0" applyNumberFormat="1" applyFill="1" applyProtection="1"/>
    <xf numFmtId="0" fontId="2" fillId="3" borderId="0" xfId="0" applyFont="1" applyFill="1" applyAlignment="1" applyProtection="1">
      <alignment horizontal="left"/>
    </xf>
    <xf numFmtId="0" fontId="3" fillId="3" borderId="0" xfId="0" applyFont="1" applyFill="1" applyAlignment="1" applyProtection="1">
      <alignment horizontal="center"/>
    </xf>
    <xf numFmtId="0" fontId="9" fillId="6" borderId="0" xfId="0" applyFont="1" applyFill="1" applyAlignment="1" applyProtection="1">
      <alignment horizontal="left" vertical="center"/>
    </xf>
    <xf numFmtId="0" fontId="3" fillId="6" borderId="0" xfId="0" applyFont="1" applyFill="1" applyAlignment="1" applyProtection="1">
      <alignment horizontal="center"/>
    </xf>
    <xf numFmtId="0" fontId="0" fillId="7" borderId="0" xfId="0" applyFill="1" applyProtection="1"/>
    <xf numFmtId="0" fontId="3" fillId="7" borderId="0" xfId="0" applyFont="1" applyFill="1" applyAlignment="1" applyProtection="1">
      <alignment horizontal="center"/>
    </xf>
    <xf numFmtId="0" fontId="9" fillId="3" borderId="0" xfId="0" applyFont="1" applyFill="1" applyAlignment="1" applyProtection="1">
      <alignment horizontal="left"/>
    </xf>
    <xf numFmtId="0" fontId="3" fillId="4" borderId="0" xfId="0" applyFont="1" applyFill="1" applyAlignment="1" applyProtection="1">
      <alignment horizontal="left"/>
    </xf>
    <xf numFmtId="0" fontId="3" fillId="4" borderId="0" xfId="0" applyFont="1" applyFill="1" applyAlignment="1" applyProtection="1">
      <alignment horizontal="center"/>
    </xf>
    <xf numFmtId="0" fontId="0" fillId="5" borderId="0" xfId="0" applyFill="1" applyProtection="1"/>
    <xf numFmtId="0" fontId="3" fillId="5" borderId="0" xfId="0" applyFont="1" applyFill="1" applyAlignment="1" applyProtection="1">
      <alignment horizontal="center"/>
    </xf>
    <xf numFmtId="0" fontId="2" fillId="4" borderId="0" xfId="0" applyFont="1" applyFill="1" applyAlignment="1" applyProtection="1">
      <alignment horizontal="left"/>
    </xf>
    <xf numFmtId="0" fontId="4" fillId="5" borderId="0" xfId="0" applyFont="1" applyFill="1" applyProtection="1"/>
    <xf numFmtId="0" fontId="3" fillId="4" borderId="0" xfId="0" applyFont="1" applyFill="1" applyBorder="1" applyAlignment="1" applyProtection="1">
      <alignment horizontal="center"/>
    </xf>
    <xf numFmtId="0" fontId="0" fillId="5" borderId="0" xfId="0" applyFill="1" applyAlignment="1" applyProtection="1">
      <alignment horizontal="center"/>
    </xf>
    <xf numFmtId="9" fontId="0" fillId="5" borderId="0" xfId="0" quotePrefix="1" applyNumberFormat="1" applyFill="1" applyAlignment="1" applyProtection="1">
      <alignment horizontal="center"/>
    </xf>
    <xf numFmtId="164" fontId="3" fillId="4" borderId="0" xfId="0" applyNumberFormat="1" applyFont="1" applyFill="1" applyBorder="1" applyAlignment="1" applyProtection="1">
      <alignment horizontal="center"/>
    </xf>
    <xf numFmtId="164" fontId="3" fillId="4" borderId="0" xfId="0" applyNumberFormat="1" applyFont="1" applyFill="1" applyAlignment="1" applyProtection="1">
      <alignment horizontal="center"/>
    </xf>
    <xf numFmtId="2" fontId="2" fillId="4" borderId="0" xfId="0" applyNumberFormat="1" applyFont="1" applyFill="1" applyBorder="1" applyAlignment="1" applyProtection="1">
      <alignment horizontal="center"/>
    </xf>
    <xf numFmtId="165" fontId="3" fillId="4" borderId="0" xfId="0" applyNumberFormat="1" applyFont="1" applyFill="1" applyAlignment="1" applyProtection="1">
      <alignment horizontal="center"/>
    </xf>
    <xf numFmtId="2" fontId="5" fillId="4" borderId="0" xfId="0" applyNumberFormat="1" applyFont="1" applyFill="1" applyBorder="1" applyAlignment="1" applyProtection="1">
      <alignment horizontal="center"/>
    </xf>
    <xf numFmtId="164" fontId="0" fillId="5" borderId="0" xfId="0" applyNumberFormat="1" applyFill="1" applyProtection="1"/>
    <xf numFmtId="164" fontId="3" fillId="2" borderId="0" xfId="0" applyNumberFormat="1" applyFont="1" applyFill="1" applyAlignment="1" applyProtection="1">
      <alignment horizontal="center"/>
    </xf>
    <xf numFmtId="0" fontId="5" fillId="4" borderId="0" xfId="0" applyFont="1" applyFill="1" applyBorder="1" applyAlignment="1" applyProtection="1">
      <alignment horizontal="center"/>
    </xf>
    <xf numFmtId="0" fontId="3" fillId="3" borderId="0" xfId="0" applyFont="1" applyFill="1" applyBorder="1" applyAlignment="1" applyProtection="1">
      <alignment horizontal="center"/>
    </xf>
    <xf numFmtId="0" fontId="3" fillId="3" borderId="0" xfId="0" applyNumberFormat="1" applyFont="1" applyFill="1" applyAlignment="1" applyProtection="1">
      <alignment horizontal="center"/>
    </xf>
    <xf numFmtId="0" fontId="6" fillId="2" borderId="0" xfId="0" applyFont="1" applyFill="1" applyProtection="1"/>
    <xf numFmtId="0" fontId="3" fillId="3" borderId="0" xfId="0" applyNumberFormat="1" applyFont="1" applyFill="1" applyBorder="1" applyAlignment="1" applyProtection="1">
      <alignment horizontal="center"/>
    </xf>
    <xf numFmtId="0" fontId="0" fillId="2" borderId="0" xfId="0" applyFill="1" applyAlignment="1" applyProtection="1">
      <alignment horizontal="right"/>
    </xf>
    <xf numFmtId="0" fontId="14" fillId="12" borderId="0" xfId="0" applyFont="1" applyFill="1" applyAlignment="1" applyProtection="1">
      <alignment horizontal="left" wrapText="1"/>
    </xf>
    <xf numFmtId="0" fontId="0" fillId="12" borderId="0" xfId="0" applyFill="1" applyProtection="1"/>
    <xf numFmtId="0" fontId="14" fillId="12" borderId="0" xfId="0" applyFont="1" applyFill="1" applyAlignment="1" applyProtection="1">
      <alignment horizontal="center" wrapText="1"/>
    </xf>
    <xf numFmtId="0" fontId="15" fillId="13" borderId="0" xfId="0" applyFont="1" applyFill="1" applyAlignment="1" applyProtection="1">
      <alignment horizontal="left" vertical="center" wrapText="1"/>
      <protection locked="0"/>
    </xf>
    <xf numFmtId="0" fontId="15" fillId="12" borderId="0" xfId="0" applyFont="1" applyFill="1" applyAlignment="1" applyProtection="1">
      <alignment horizontal="left" vertical="center" wrapText="1"/>
      <protection locked="0"/>
    </xf>
    <xf numFmtId="0" fontId="15" fillId="12" borderId="0" xfId="0" applyFont="1" applyFill="1" applyAlignment="1" applyProtection="1">
      <alignment horizontal="left" wrapText="1"/>
    </xf>
    <xf numFmtId="0" fontId="15" fillId="12" borderId="0" xfId="0" applyFont="1" applyFill="1" applyAlignment="1" applyProtection="1">
      <alignment horizontal="center" vertical="center" wrapText="1"/>
    </xf>
    <xf numFmtId="0" fontId="15" fillId="12" borderId="0" xfId="0" applyFont="1" applyFill="1" applyAlignment="1" applyProtection="1">
      <alignment horizontal="left" vertical="center" wrapText="1"/>
    </xf>
    <xf numFmtId="0" fontId="0" fillId="2" borderId="0" xfId="0" applyFill="1"/>
    <xf numFmtId="0" fontId="15" fillId="11" borderId="0" xfId="0" applyFont="1" applyFill="1" applyAlignment="1" applyProtection="1">
      <alignment horizontal="center" vertical="center" wrapText="1"/>
      <protection locked="0"/>
    </xf>
    <xf numFmtId="0" fontId="0" fillId="2" borderId="0" xfId="0" applyFill="1" applyAlignment="1">
      <alignment vertical="center"/>
    </xf>
    <xf numFmtId="0" fontId="6" fillId="0" borderId="0" xfId="0" applyFont="1" applyFill="1" applyBorder="1" applyAlignment="1" applyProtection="1">
      <alignment horizontal="left" vertical="center"/>
    </xf>
    <xf numFmtId="0" fontId="6" fillId="2" borderId="0" xfId="0" applyFont="1" applyFill="1"/>
    <xf numFmtId="0" fontId="15" fillId="2" borderId="0" xfId="0" applyFont="1" applyFill="1"/>
    <xf numFmtId="0" fontId="4" fillId="12" borderId="0" xfId="0" applyFont="1" applyFill="1" applyProtection="1"/>
    <xf numFmtId="0" fontId="6" fillId="12" borderId="0" xfId="0" applyFont="1" applyFill="1" applyAlignment="1" applyProtection="1">
      <alignment horizontal="left" wrapText="1"/>
    </xf>
    <xf numFmtId="0" fontId="15" fillId="13" borderId="0" xfId="0" applyFont="1" applyFill="1" applyAlignment="1" applyProtection="1">
      <alignment horizontal="left" vertical="center" wrapText="1"/>
    </xf>
    <xf numFmtId="0" fontId="15" fillId="13" borderId="0" xfId="0" applyFont="1" applyFill="1" applyAlignment="1" applyProtection="1">
      <alignment vertical="center" wrapText="1"/>
    </xf>
    <xf numFmtId="0" fontId="15" fillId="12" borderId="0" xfId="0" applyFont="1" applyFill="1" applyAlignment="1" applyProtection="1">
      <alignment vertical="center" wrapText="1"/>
    </xf>
    <xf numFmtId="0" fontId="0" fillId="12" borderId="0" xfId="0" applyFont="1" applyFill="1" applyProtection="1"/>
    <xf numFmtId="0" fontId="0" fillId="2" borderId="0" xfId="0" applyFont="1" applyFill="1"/>
    <xf numFmtId="0" fontId="0" fillId="11" borderId="0" xfId="0" applyFont="1" applyFill="1" applyProtection="1">
      <protection locked="0"/>
    </xf>
    <xf numFmtId="2" fontId="0" fillId="12" borderId="0" xfId="0" applyNumberFormat="1" applyFont="1" applyFill="1" applyProtection="1"/>
    <xf numFmtId="0" fontId="4" fillId="12" borderId="0" xfId="0" applyFont="1" applyFill="1" applyAlignment="1" applyProtection="1">
      <alignment horizontal="left" wrapText="1"/>
    </xf>
    <xf numFmtId="0" fontId="4" fillId="12" borderId="0" xfId="0" applyFont="1" applyFill="1" applyAlignment="1" applyProtection="1">
      <alignment horizontal="center" wrapText="1"/>
    </xf>
    <xf numFmtId="0" fontId="0" fillId="13" borderId="0" xfId="0" applyFont="1" applyFill="1" applyAlignment="1" applyProtection="1">
      <alignment horizontal="left" vertical="center" wrapText="1"/>
    </xf>
    <xf numFmtId="0" fontId="0" fillId="11" borderId="0" xfId="0" applyFont="1" applyFill="1" applyAlignment="1" applyProtection="1">
      <alignment horizontal="center" vertical="center" wrapText="1"/>
      <protection locked="0"/>
    </xf>
    <xf numFmtId="0" fontId="4" fillId="13" borderId="0" xfId="0" applyFont="1" applyFill="1" applyAlignment="1" applyProtection="1">
      <alignment horizontal="center" vertical="center" wrapText="1"/>
    </xf>
    <xf numFmtId="0" fontId="0" fillId="13" borderId="0" xfId="0" applyFont="1" applyFill="1" applyAlignment="1" applyProtection="1">
      <alignment vertical="center" wrapText="1"/>
    </xf>
    <xf numFmtId="0" fontId="0" fillId="12" borderId="0" xfId="0" applyFont="1" applyFill="1" applyAlignment="1" applyProtection="1">
      <alignment horizontal="left" vertical="center" wrapText="1"/>
    </xf>
    <xf numFmtId="0" fontId="0" fillId="12" borderId="0" xfId="0" applyFont="1" applyFill="1" applyAlignment="1" applyProtection="1">
      <alignment vertical="center" wrapText="1"/>
    </xf>
    <xf numFmtId="0" fontId="0" fillId="12" borderId="0" xfId="0" applyFont="1" applyFill="1" applyBorder="1" applyAlignment="1" applyProtection="1">
      <alignment horizontal="left"/>
    </xf>
    <xf numFmtId="0" fontId="0" fillId="12" borderId="0" xfId="0" applyFont="1" applyFill="1" applyBorder="1" applyAlignment="1" applyProtection="1">
      <alignment horizontal="center"/>
    </xf>
    <xf numFmtId="0" fontId="17" fillId="12" borderId="0" xfId="0" applyFont="1" applyFill="1" applyAlignment="1" applyProtection="1">
      <alignment horizontal="left" wrapText="1"/>
    </xf>
    <xf numFmtId="0" fontId="4" fillId="12" borderId="0" xfId="0" applyFont="1" applyFill="1" applyAlignment="1" applyProtection="1">
      <alignment horizontal="right" wrapText="1"/>
    </xf>
    <xf numFmtId="0" fontId="4" fillId="2" borderId="0" xfId="0" applyFont="1" applyFill="1" applyAlignment="1" applyProtection="1">
      <alignment horizontal="center" vertical="center" wrapText="1"/>
    </xf>
    <xf numFmtId="0" fontId="4" fillId="2" borderId="0" xfId="0" applyFont="1" applyFill="1" applyProtection="1"/>
    <xf numFmtId="0" fontId="6" fillId="2" borderId="0" xfId="0" applyFont="1" applyFill="1" applyBorder="1" applyAlignment="1" applyProtection="1">
      <alignment horizontal="left" vertical="center"/>
    </xf>
    <xf numFmtId="0" fontId="14" fillId="2" borderId="0" xfId="0" applyFont="1" applyFill="1" applyAlignment="1" applyProtection="1">
      <alignment horizontal="left" wrapText="1"/>
    </xf>
    <xf numFmtId="0" fontId="14" fillId="2" borderId="0" xfId="0" applyFont="1" applyFill="1" applyAlignment="1" applyProtection="1">
      <alignment horizontal="center" wrapText="1"/>
    </xf>
    <xf numFmtId="0" fontId="16" fillId="2" borderId="0" xfId="0" applyFont="1" applyFill="1" applyAlignment="1" applyProtection="1">
      <alignment horizontal="center" wrapText="1"/>
    </xf>
    <xf numFmtId="0" fontId="15" fillId="2" borderId="0" xfId="0" applyFont="1" applyFill="1" applyAlignment="1" applyProtection="1">
      <alignment horizontal="left" wrapText="1"/>
    </xf>
    <xf numFmtId="0" fontId="15" fillId="2" borderId="0" xfId="0" applyFont="1" applyFill="1" applyAlignment="1" applyProtection="1">
      <alignment horizontal="center" vertical="center" wrapText="1"/>
    </xf>
    <xf numFmtId="0" fontId="15" fillId="2" borderId="0" xfId="0" applyFont="1" applyFill="1" applyAlignment="1" applyProtection="1">
      <alignment vertical="center" wrapText="1"/>
      <protection locked="0"/>
    </xf>
    <xf numFmtId="0" fontId="14" fillId="12" borderId="0" xfId="0" applyFont="1" applyFill="1" applyAlignment="1" applyProtection="1">
      <alignment horizontal="left" wrapText="1"/>
    </xf>
    <xf numFmtId="0" fontId="0" fillId="12" borderId="0" xfId="0" applyFill="1" applyProtection="1">
      <protection locked="0"/>
    </xf>
    <xf numFmtId="0" fontId="3" fillId="12" borderId="0" xfId="0" applyFont="1" applyFill="1" applyAlignment="1" applyProtection="1">
      <alignment horizontal="center"/>
      <protection locked="0"/>
    </xf>
    <xf numFmtId="0" fontId="0" fillId="12" borderId="0" xfId="0" applyFill="1" applyAlignment="1" applyProtection="1">
      <alignment horizontal="center"/>
      <protection locked="0"/>
    </xf>
    <xf numFmtId="0" fontId="3" fillId="12" borderId="0" xfId="0" applyFont="1" applyFill="1" applyAlignment="1" applyProtection="1">
      <alignment horizontal="center"/>
    </xf>
    <xf numFmtId="0" fontId="0" fillId="12" borderId="0" xfId="0" quotePrefix="1" applyFill="1" applyAlignment="1" applyProtection="1">
      <alignment horizontal="center"/>
      <protection locked="0"/>
    </xf>
    <xf numFmtId="0" fontId="4" fillId="12" borderId="0" xfId="0" applyFont="1" applyFill="1" applyAlignment="1" applyProtection="1">
      <alignment horizontal="center"/>
    </xf>
    <xf numFmtId="0" fontId="4" fillId="12" borderId="0" xfId="0" applyFont="1" applyFill="1" applyAlignment="1" applyProtection="1">
      <alignment horizontal="right"/>
    </xf>
    <xf numFmtId="164" fontId="3" fillId="12" borderId="0" xfId="0" applyNumberFormat="1" applyFont="1" applyFill="1" applyAlignment="1" applyProtection="1">
      <alignment horizontal="center"/>
    </xf>
    <xf numFmtId="0" fontId="0" fillId="14" borderId="9" xfId="0" applyFill="1" applyBorder="1" applyAlignment="1" applyProtection="1">
      <alignment horizontal="center"/>
    </xf>
    <xf numFmtId="0" fontId="18" fillId="12" borderId="0" xfId="0" applyFont="1" applyFill="1" applyAlignment="1" applyProtection="1">
      <alignment horizontal="left"/>
    </xf>
    <xf numFmtId="2" fontId="16" fillId="12" borderId="0" xfId="0" applyNumberFormat="1" applyFont="1" applyFill="1" applyBorder="1" applyAlignment="1" applyProtection="1">
      <alignment horizontal="center"/>
    </xf>
    <xf numFmtId="0" fontId="19" fillId="12" borderId="0" xfId="0" applyFont="1" applyFill="1" applyProtection="1"/>
    <xf numFmtId="164" fontId="0" fillId="12" borderId="0" xfId="0" applyNumberFormat="1" applyFill="1" applyProtection="1"/>
    <xf numFmtId="164" fontId="3" fillId="12" borderId="0" xfId="0" applyNumberFormat="1" applyFont="1" applyFill="1" applyAlignment="1" applyProtection="1">
      <alignment horizontal="center"/>
      <protection locked="0"/>
    </xf>
    <xf numFmtId="1" fontId="20" fillId="12" borderId="0" xfId="113" applyNumberFormat="1" applyFont="1" applyFill="1" applyProtection="1"/>
    <xf numFmtId="164" fontId="21" fillId="12" borderId="0" xfId="0" applyNumberFormat="1" applyFont="1" applyFill="1" applyAlignment="1" applyProtection="1">
      <alignment horizontal="center"/>
      <protection locked="0"/>
    </xf>
    <xf numFmtId="0" fontId="4" fillId="12" borderId="0" xfId="0" applyFont="1" applyFill="1" applyProtection="1">
      <protection locked="0"/>
    </xf>
    <xf numFmtId="0" fontId="0" fillId="12" borderId="0" xfId="0" applyFill="1" applyAlignment="1" applyProtection="1">
      <alignment vertical="center"/>
      <protection locked="0"/>
    </xf>
    <xf numFmtId="0" fontId="1" fillId="12" borderId="0" xfId="0" applyFont="1" applyFill="1" applyBorder="1" applyProtection="1"/>
    <xf numFmtId="0" fontId="0" fillId="12" borderId="0" xfId="0" applyFill="1" applyBorder="1" applyProtection="1"/>
    <xf numFmtId="0" fontId="4" fillId="15" borderId="0" xfId="0" applyFont="1" applyFill="1" applyAlignment="1" applyProtection="1">
      <alignment vertical="center"/>
    </xf>
    <xf numFmtId="0" fontId="0" fillId="15" borderId="0" xfId="0" applyFill="1" applyProtection="1"/>
    <xf numFmtId="9" fontId="0" fillId="2" borderId="0" xfId="0" applyNumberFormat="1" applyFill="1" applyAlignment="1" applyProtection="1">
      <alignment horizontal="left"/>
    </xf>
    <xf numFmtId="10" fontId="0" fillId="12" borderId="0" xfId="113" applyNumberFormat="1" applyFont="1" applyFill="1" applyAlignment="1" applyProtection="1">
      <alignment horizontal="center"/>
    </xf>
    <xf numFmtId="0" fontId="4" fillId="10" borderId="0" xfId="0" applyFont="1" applyFill="1" applyBorder="1" applyProtection="1"/>
    <xf numFmtId="0" fontId="4" fillId="16" borderId="0" xfId="0" applyFont="1" applyFill="1" applyAlignment="1" applyProtection="1">
      <alignment vertical="center"/>
    </xf>
    <xf numFmtId="0" fontId="4" fillId="16" borderId="0" xfId="0" applyFont="1" applyFill="1" applyProtection="1"/>
    <xf numFmtId="0" fontId="15" fillId="13" borderId="0" xfId="0" applyFont="1" applyFill="1" applyAlignment="1" applyProtection="1">
      <alignment horizontal="center" vertical="center" wrapText="1"/>
      <protection locked="0"/>
    </xf>
    <xf numFmtId="0" fontId="15" fillId="12" borderId="0" xfId="0" applyFont="1" applyFill="1" applyAlignment="1" applyProtection="1">
      <alignment horizontal="center" vertical="center" wrapText="1"/>
      <protection locked="0"/>
    </xf>
    <xf numFmtId="0" fontId="15" fillId="12" borderId="0" xfId="0" applyFont="1" applyFill="1" applyBorder="1" applyProtection="1"/>
    <xf numFmtId="0" fontId="6" fillId="12" borderId="0" xfId="0" applyFont="1" applyFill="1" applyBorder="1" applyProtection="1"/>
    <xf numFmtId="0" fontId="15" fillId="12" borderId="0" xfId="0" applyFont="1" applyFill="1" applyBorder="1" applyAlignment="1" applyProtection="1">
      <alignment horizontal="center"/>
    </xf>
    <xf numFmtId="0" fontId="20" fillId="12" borderId="0" xfId="0" applyFont="1" applyFill="1" applyBorder="1" applyProtection="1"/>
    <xf numFmtId="0" fontId="15" fillId="12" borderId="0" xfId="0" applyFont="1" applyFill="1" applyProtection="1"/>
    <xf numFmtId="2" fontId="15" fillId="12" borderId="0" xfId="0" applyNumberFormat="1" applyFont="1" applyFill="1" applyBorder="1" applyProtection="1"/>
    <xf numFmtId="0" fontId="6" fillId="12" borderId="0" xfId="0" applyFont="1" applyFill="1" applyProtection="1"/>
    <xf numFmtId="0" fontId="6" fillId="12" borderId="0" xfId="0" applyFont="1" applyFill="1" applyAlignment="1" applyProtection="1">
      <alignment horizontal="center"/>
    </xf>
    <xf numFmtId="0" fontId="6" fillId="12" borderId="0" xfId="0" applyFont="1" applyFill="1" applyBorder="1" applyAlignment="1" applyProtection="1">
      <alignment horizontal="center"/>
    </xf>
    <xf numFmtId="2" fontId="0" fillId="2" borderId="0" xfId="0" applyNumberFormat="1" applyFill="1"/>
    <xf numFmtId="1" fontId="0" fillId="2" borderId="0" xfId="0" applyNumberFormat="1" applyFill="1" applyAlignment="1">
      <alignment horizontal="left"/>
    </xf>
    <xf numFmtId="165" fontId="0" fillId="2" borderId="0" xfId="0" applyNumberFormat="1" applyFill="1" applyAlignment="1">
      <alignment horizontal="left"/>
    </xf>
    <xf numFmtId="0" fontId="6" fillId="12" borderId="0" xfId="0" applyFont="1" applyFill="1" applyAlignment="1" applyProtection="1">
      <alignment horizontal="left"/>
    </xf>
    <xf numFmtId="0" fontId="6" fillId="2" borderId="0" xfId="0" applyFont="1" applyFill="1" applyBorder="1" applyProtection="1"/>
    <xf numFmtId="2" fontId="6" fillId="2" borderId="0" xfId="0" applyNumberFormat="1" applyFont="1" applyFill="1" applyBorder="1" applyAlignment="1" applyProtection="1">
      <alignment horizontal="center"/>
    </xf>
    <xf numFmtId="0" fontId="15" fillId="2" borderId="0" xfId="0" applyFont="1" applyFill="1" applyBorder="1" applyProtection="1"/>
    <xf numFmtId="0" fontId="15" fillId="2" borderId="0" xfId="0" applyFont="1" applyFill="1" applyBorder="1" applyAlignment="1" applyProtection="1">
      <alignment horizontal="center"/>
    </xf>
    <xf numFmtId="0" fontId="6" fillId="2" borderId="0" xfId="0" applyFont="1" applyFill="1" applyBorder="1" applyAlignment="1" applyProtection="1">
      <alignment horizontal="center"/>
    </xf>
    <xf numFmtId="0" fontId="6" fillId="2" borderId="0" xfId="0" applyFont="1" applyFill="1" applyBorder="1" applyAlignment="1" applyProtection="1">
      <alignment horizontal="center"/>
      <protection locked="0"/>
    </xf>
    <xf numFmtId="2" fontId="15" fillId="2" borderId="9" xfId="0" applyNumberFormat="1" applyFont="1" applyFill="1" applyBorder="1" applyAlignment="1" applyProtection="1">
      <alignment horizontal="center"/>
    </xf>
    <xf numFmtId="165" fontId="15" fillId="2" borderId="9" xfId="0" applyNumberFormat="1" applyFont="1" applyFill="1" applyBorder="1" applyAlignment="1" applyProtection="1">
      <alignment horizontal="center"/>
    </xf>
    <xf numFmtId="0" fontId="14" fillId="12" borderId="0" xfId="0" applyFont="1" applyFill="1" applyAlignment="1" applyProtection="1">
      <alignment vertical="center" wrapText="1"/>
      <protection locked="0"/>
    </xf>
    <xf numFmtId="0" fontId="2" fillId="0" borderId="9" xfId="0" applyFont="1" applyBorder="1"/>
    <xf numFmtId="0" fontId="5" fillId="0" borderId="9" xfId="0" applyFont="1" applyBorder="1"/>
    <xf numFmtId="0" fontId="5" fillId="0" borderId="9" xfId="0" applyFont="1" applyBorder="1" applyAlignment="1">
      <alignment horizontal="left"/>
    </xf>
    <xf numFmtId="0" fontId="17" fillId="2" borderId="0" xfId="0" applyFont="1" applyFill="1"/>
    <xf numFmtId="0" fontId="2" fillId="0" borderId="9" xfId="0" applyFont="1" applyBorder="1" applyAlignment="1">
      <alignment horizontal="left"/>
    </xf>
    <xf numFmtId="0" fontId="5" fillId="2" borderId="9" xfId="0" applyFont="1" applyFill="1" applyBorder="1" applyAlignment="1">
      <alignment horizontal="left"/>
    </xf>
    <xf numFmtId="0" fontId="0" fillId="2" borderId="0" xfId="0" applyFill="1" applyAlignment="1">
      <alignment horizontal="left"/>
    </xf>
    <xf numFmtId="0" fontId="4" fillId="2" borderId="0" xfId="0" applyFont="1" applyFill="1" applyAlignment="1">
      <alignment vertical="center"/>
    </xf>
    <xf numFmtId="0" fontId="4" fillId="9" borderId="0" xfId="0" applyNumberFormat="1" applyFont="1" applyFill="1" applyAlignment="1">
      <alignment vertical="center"/>
    </xf>
    <xf numFmtId="0" fontId="2" fillId="2" borderId="10" xfId="0" applyFont="1" applyFill="1" applyBorder="1" applyAlignment="1">
      <alignment horizontal="left"/>
    </xf>
    <xf numFmtId="0" fontId="0" fillId="2" borderId="0" xfId="0" applyFill="1" applyAlignment="1"/>
    <xf numFmtId="2" fontId="2" fillId="2" borderId="10" xfId="0" applyNumberFormat="1" applyFont="1" applyFill="1" applyBorder="1" applyAlignment="1"/>
    <xf numFmtId="0" fontId="23" fillId="2" borderId="9" xfId="0" applyFont="1" applyFill="1" applyBorder="1" applyAlignment="1">
      <alignment horizontal="left"/>
    </xf>
    <xf numFmtId="0" fontId="24" fillId="12" borderId="0" xfId="0" applyFont="1" applyFill="1" applyBorder="1" applyProtection="1"/>
    <xf numFmtId="0" fontId="25" fillId="2" borderId="0" xfId="0" applyFont="1" applyFill="1"/>
    <xf numFmtId="0" fontId="26" fillId="2" borderId="0" xfId="0" applyFont="1" applyFill="1"/>
    <xf numFmtId="0" fontId="0" fillId="11" borderId="0" xfId="0" applyFill="1" applyAlignment="1">
      <alignment horizontal="left" vertical="center"/>
    </xf>
    <xf numFmtId="0" fontId="12" fillId="10" borderId="1" xfId="0" applyFont="1" applyFill="1" applyBorder="1" applyAlignment="1" applyProtection="1">
      <alignment horizontal="left" vertical="center"/>
    </xf>
    <xf numFmtId="0" fontId="12" fillId="10" borderId="2" xfId="0" applyFont="1" applyFill="1" applyBorder="1" applyAlignment="1" applyProtection="1">
      <alignment horizontal="left" vertical="center"/>
    </xf>
    <xf numFmtId="0" fontId="12" fillId="10" borderId="4" xfId="0" applyFont="1" applyFill="1" applyBorder="1" applyAlignment="1" applyProtection="1">
      <alignment horizontal="left" vertical="center"/>
    </xf>
    <xf numFmtId="0" fontId="12" fillId="10" borderId="0" xfId="0" applyFont="1" applyFill="1" applyBorder="1" applyAlignment="1" applyProtection="1">
      <alignment horizontal="left" vertical="center"/>
    </xf>
    <xf numFmtId="0" fontId="13" fillId="2" borderId="6" xfId="0" applyFont="1" applyFill="1" applyBorder="1" applyAlignment="1" applyProtection="1">
      <alignment horizontal="left" vertical="center"/>
    </xf>
    <xf numFmtId="0" fontId="13" fillId="2" borderId="7" xfId="0" applyFont="1" applyFill="1" applyBorder="1" applyAlignment="1" applyProtection="1">
      <alignment horizontal="left" vertical="center"/>
    </xf>
    <xf numFmtId="0" fontId="0" fillId="11" borderId="0" xfId="0" applyFill="1" applyAlignment="1">
      <alignment horizontal="left" vertical="center"/>
    </xf>
    <xf numFmtId="0" fontId="18" fillId="2" borderId="0" xfId="0" applyFont="1" applyFill="1" applyProtection="1"/>
    <xf numFmtId="0" fontId="5" fillId="17" borderId="0" xfId="0" applyFont="1" applyFill="1" applyBorder="1" applyAlignment="1" applyProtection="1">
      <alignment horizontal="center"/>
      <protection locked="0"/>
    </xf>
    <xf numFmtId="0" fontId="3" fillId="4" borderId="0" xfId="0" applyFont="1" applyFill="1" applyAlignment="1" applyProtection="1">
      <alignment horizontal="center"/>
    </xf>
    <xf numFmtId="0" fontId="14" fillId="2" borderId="0" xfId="0" applyFont="1" applyFill="1" applyAlignment="1" applyProtection="1">
      <alignment horizontal="left" wrapText="1"/>
    </xf>
    <xf numFmtId="0" fontId="15" fillId="2" borderId="0" xfId="0" applyFont="1" applyFill="1" applyAlignment="1" applyProtection="1">
      <alignment horizontal="left" vertical="center" wrapText="1"/>
    </xf>
    <xf numFmtId="0" fontId="16" fillId="12" borderId="0" xfId="0" applyFont="1" applyFill="1" applyAlignment="1" applyProtection="1">
      <alignment wrapText="1"/>
    </xf>
    <xf numFmtId="0" fontId="16" fillId="12" borderId="0" xfId="0" applyFont="1" applyFill="1" applyAlignment="1" applyProtection="1">
      <alignment horizontal="center" wrapText="1"/>
    </xf>
    <xf numFmtId="0" fontId="0" fillId="2" borderId="0" xfId="0" applyNumberFormat="1" applyFill="1"/>
    <xf numFmtId="0" fontId="4" fillId="2" borderId="0" xfId="0" applyFont="1" applyFill="1"/>
    <xf numFmtId="0" fontId="0" fillId="11" borderId="0" xfId="0" applyFill="1" applyAlignment="1">
      <alignment horizontal="left" vertical="center"/>
    </xf>
    <xf numFmtId="14" fontId="0" fillId="11" borderId="0" xfId="0" applyNumberFormat="1" applyFill="1" applyAlignment="1">
      <alignment horizontal="left" vertical="center"/>
    </xf>
    <xf numFmtId="0" fontId="18" fillId="11" borderId="0" xfId="0" applyFont="1" applyFill="1" applyAlignment="1">
      <alignment horizontal="left" vertical="center"/>
    </xf>
    <xf numFmtId="0" fontId="3" fillId="11" borderId="0" xfId="0" applyFont="1" applyFill="1" applyAlignment="1" applyProtection="1">
      <alignment horizontal="left" vertical="center"/>
      <protection locked="0"/>
    </xf>
    <xf numFmtId="0" fontId="22" fillId="0" borderId="0" xfId="0" applyFont="1" applyAlignment="1">
      <alignment horizontal="left" vertical="top" wrapText="1"/>
    </xf>
    <xf numFmtId="0" fontId="24" fillId="12" borderId="11" xfId="0" applyFont="1" applyFill="1" applyBorder="1" applyAlignment="1" applyProtection="1">
      <alignment horizontal="left"/>
    </xf>
    <xf numFmtId="0" fontId="15" fillId="13" borderId="0" xfId="0" applyFont="1" applyFill="1" applyAlignment="1" applyProtection="1">
      <alignment horizontal="left" vertical="center" wrapText="1"/>
    </xf>
    <xf numFmtId="0" fontId="15" fillId="12" borderId="0" xfId="0" applyFont="1" applyFill="1" applyAlignment="1" applyProtection="1">
      <alignment horizontal="left" vertical="center" wrapText="1"/>
    </xf>
    <xf numFmtId="0" fontId="16" fillId="12" borderId="0" xfId="0" applyFont="1" applyFill="1" applyAlignment="1" applyProtection="1">
      <alignment horizontal="right" wrapText="1"/>
    </xf>
    <xf numFmtId="0" fontId="6" fillId="12" borderId="0" xfId="0" applyFont="1" applyFill="1" applyAlignment="1" applyProtection="1">
      <alignment horizontal="left" wrapText="1"/>
    </xf>
    <xf numFmtId="0" fontId="0" fillId="5" borderId="0" xfId="0" applyFill="1" applyAlignment="1" applyProtection="1">
      <alignment horizontal="left"/>
    </xf>
    <xf numFmtId="0" fontId="0" fillId="2" borderId="0" xfId="0" applyFill="1" applyAlignment="1" applyProtection="1">
      <alignment horizontal="left"/>
    </xf>
    <xf numFmtId="0" fontId="14" fillId="12" borderId="0" xfId="0" applyFont="1" applyFill="1" applyAlignment="1" applyProtection="1">
      <alignment horizontal="left" vertical="center" wrapText="1"/>
      <protection locked="0"/>
    </xf>
    <xf numFmtId="0" fontId="14" fillId="12" borderId="0" xfId="0" applyFont="1" applyFill="1" applyAlignment="1" applyProtection="1">
      <alignment horizontal="left" wrapText="1"/>
    </xf>
    <xf numFmtId="0" fontId="12" fillId="10" borderId="1" xfId="0" applyFont="1" applyFill="1" applyBorder="1" applyAlignment="1" applyProtection="1">
      <alignment horizontal="center" vertical="center"/>
    </xf>
    <xf numFmtId="0" fontId="12" fillId="10" borderId="3" xfId="0" applyFont="1" applyFill="1" applyBorder="1" applyAlignment="1" applyProtection="1">
      <alignment horizontal="center" vertical="center"/>
    </xf>
    <xf numFmtId="0" fontId="12" fillId="10" borderId="4" xfId="0" applyFont="1" applyFill="1" applyBorder="1" applyAlignment="1" applyProtection="1">
      <alignment horizontal="center" vertical="center"/>
    </xf>
    <xf numFmtId="0" fontId="12" fillId="10" borderId="5"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10" fillId="0" borderId="6" xfId="0" applyFont="1" applyFill="1" applyBorder="1" applyAlignment="1" applyProtection="1">
      <alignment horizontal="center" vertical="center"/>
    </xf>
    <xf numFmtId="0" fontId="10" fillId="0" borderId="8" xfId="0" applyFont="1" applyFill="1" applyBorder="1" applyAlignment="1" applyProtection="1">
      <alignment horizontal="center" vertical="center"/>
    </xf>
    <xf numFmtId="0" fontId="4" fillId="2" borderId="0" xfId="0" applyFont="1" applyFill="1" applyAlignment="1" applyProtection="1">
      <alignment horizontal="left"/>
    </xf>
    <xf numFmtId="0" fontId="10" fillId="2" borderId="7" xfId="0" applyFont="1" applyFill="1" applyBorder="1" applyAlignment="1" applyProtection="1">
      <alignment horizontal="left" vertical="center"/>
    </xf>
    <xf numFmtId="0" fontId="10" fillId="2" borderId="8" xfId="0" applyFont="1" applyFill="1" applyBorder="1" applyAlignment="1" applyProtection="1">
      <alignment horizontal="left" vertical="center"/>
    </xf>
    <xf numFmtId="0" fontId="12" fillId="10" borderId="1" xfId="0" applyFont="1" applyFill="1" applyBorder="1" applyAlignment="1" applyProtection="1">
      <alignment horizontal="left" vertical="center"/>
    </xf>
    <xf numFmtId="0" fontId="12" fillId="10" borderId="2" xfId="0" applyFont="1" applyFill="1" applyBorder="1" applyAlignment="1" applyProtection="1">
      <alignment horizontal="left" vertical="center"/>
    </xf>
    <xf numFmtId="0" fontId="12" fillId="10" borderId="4" xfId="0" applyFont="1" applyFill="1" applyBorder="1" applyAlignment="1" applyProtection="1">
      <alignment horizontal="left" vertical="center"/>
    </xf>
    <xf numFmtId="0" fontId="12" fillId="10" borderId="0" xfId="0" applyFont="1" applyFill="1" applyBorder="1" applyAlignment="1" applyProtection="1">
      <alignment horizontal="left" vertical="center"/>
    </xf>
    <xf numFmtId="0" fontId="10" fillId="0" borderId="7" xfId="0" applyFont="1" applyFill="1" applyBorder="1" applyAlignment="1" applyProtection="1">
      <alignment horizontal="left" vertical="center"/>
    </xf>
    <xf numFmtId="0" fontId="10" fillId="0" borderId="8" xfId="0" applyFont="1" applyFill="1" applyBorder="1" applyAlignment="1" applyProtection="1">
      <alignment horizontal="left" vertical="center"/>
    </xf>
    <xf numFmtId="0" fontId="13" fillId="2" borderId="6" xfId="0" applyFont="1" applyFill="1" applyBorder="1" applyAlignment="1" applyProtection="1">
      <alignment horizontal="left" vertical="center"/>
    </xf>
    <xf numFmtId="0" fontId="13" fillId="2" borderId="7" xfId="0" applyFont="1" applyFill="1" applyBorder="1" applyAlignment="1" applyProtection="1">
      <alignment horizontal="left" vertical="center"/>
    </xf>
    <xf numFmtId="0" fontId="0" fillId="12" borderId="0" xfId="0" applyFill="1" applyAlignment="1" applyProtection="1">
      <alignment horizontal="center"/>
    </xf>
    <xf numFmtId="0" fontId="16" fillId="2" borderId="0" xfId="0" applyFont="1" applyFill="1" applyAlignment="1" applyProtection="1">
      <alignment horizontal="right" wrapText="1"/>
    </xf>
    <xf numFmtId="0" fontId="15" fillId="5" borderId="0" xfId="0" applyFont="1" applyFill="1" applyAlignment="1" applyProtection="1">
      <alignment horizontal="center" vertical="center" wrapText="1"/>
      <protection locked="0"/>
    </xf>
    <xf numFmtId="0" fontId="6" fillId="2" borderId="0" xfId="0" applyFont="1" applyFill="1" applyAlignment="1" applyProtection="1">
      <alignment horizontal="left" wrapText="1"/>
    </xf>
    <xf numFmtId="0" fontId="14" fillId="2" borderId="0" xfId="0" applyFont="1" applyFill="1" applyAlignment="1" applyProtection="1">
      <alignment horizontal="left" wrapText="1"/>
    </xf>
    <xf numFmtId="0" fontId="15" fillId="5" borderId="0" xfId="0" applyFont="1" applyFill="1" applyAlignment="1" applyProtection="1">
      <alignment horizontal="left" vertical="center" wrapText="1"/>
    </xf>
    <xf numFmtId="0" fontId="15" fillId="2" borderId="0" xfId="0" applyFont="1" applyFill="1" applyAlignment="1" applyProtection="1">
      <alignment horizontal="left" vertical="center" wrapText="1"/>
    </xf>
    <xf numFmtId="0" fontId="15" fillId="2" borderId="0" xfId="0" applyFont="1" applyFill="1" applyAlignment="1" applyProtection="1">
      <alignment horizontal="left" vertical="center" wrapText="1"/>
      <protection locked="0"/>
    </xf>
    <xf numFmtId="0" fontId="10" fillId="2" borderId="0" xfId="0" applyFont="1" applyFill="1" applyBorder="1" applyAlignment="1" applyProtection="1">
      <alignment horizontal="left" vertical="center"/>
    </xf>
    <xf numFmtId="0" fontId="10" fillId="2" borderId="5" xfId="0" applyFont="1" applyFill="1" applyBorder="1" applyAlignment="1" applyProtection="1">
      <alignment horizontal="left" vertical="center"/>
    </xf>
    <xf numFmtId="0" fontId="13" fillId="2" borderId="4" xfId="0" applyFont="1" applyFill="1" applyBorder="1" applyAlignment="1" applyProtection="1">
      <alignment horizontal="left" vertical="center"/>
    </xf>
    <xf numFmtId="0" fontId="13" fillId="2" borderId="0" xfId="0" applyFont="1" applyFill="1" applyBorder="1" applyAlignment="1" applyProtection="1">
      <alignment horizontal="left" vertical="center"/>
    </xf>
    <xf numFmtId="0" fontId="0" fillId="11" borderId="0" xfId="0" applyFont="1" applyFill="1" applyAlignment="1" applyProtection="1">
      <alignment horizontal="left" vertical="center"/>
      <protection locked="0"/>
    </xf>
    <xf numFmtId="0" fontId="0" fillId="12" borderId="0" xfId="0" applyFont="1" applyFill="1" applyAlignment="1" applyProtection="1">
      <alignment horizontal="center"/>
    </xf>
    <xf numFmtId="0" fontId="4" fillId="12" borderId="0" xfId="0" applyFont="1" applyFill="1" applyAlignment="1" applyProtection="1">
      <alignment horizontal="center" wrapText="1"/>
    </xf>
  </cellXfs>
  <cellStyles count="252">
    <cellStyle name="Gevolgde hyperlink" xfId="2" builtinId="9" hidden="1"/>
    <cellStyle name="Gevolgde hyperlink" xfId="4" builtinId="9" hidden="1"/>
    <cellStyle name="Gevolgde hyperlink" xfId="6" builtinId="9" hidden="1"/>
    <cellStyle name="Gevolgde hyperlink" xfId="8" builtinId="9" hidden="1"/>
    <cellStyle name="Gevolgde hyperlink" xfId="10" builtinId="9" hidden="1"/>
    <cellStyle name="Gevolgde hyperlink" xfId="12" builtinId="9" hidden="1"/>
    <cellStyle name="Gevolgde hyperlink" xfId="14" builtinId="9" hidden="1"/>
    <cellStyle name="Gevolgde hyperlink" xfId="16" builtinId="9" hidden="1"/>
    <cellStyle name="Gevolgde hyperlink" xfId="18" builtinId="9" hidden="1"/>
    <cellStyle name="Gevolgde hyperlink" xfId="20" builtinId="9" hidden="1"/>
    <cellStyle name="Gevolgde hyperlink" xfId="22" builtinId="9" hidden="1"/>
    <cellStyle name="Gevolgde hyperlink" xfId="24" builtinId="9" hidden="1"/>
    <cellStyle name="Gevolgde hyperlink" xfId="26" builtinId="9" hidden="1"/>
    <cellStyle name="Gevolgde hyperlink" xfId="28" builtinId="9" hidden="1"/>
    <cellStyle name="Gevolgde hyperlink" xfId="30" builtinId="9" hidden="1"/>
    <cellStyle name="Gevolgde hyperlink" xfId="32" builtinId="9" hidden="1"/>
    <cellStyle name="Gevolgde hyperlink" xfId="34" builtinId="9" hidden="1"/>
    <cellStyle name="Gevolgde hyperlink" xfId="36" builtinId="9" hidden="1"/>
    <cellStyle name="Gevolgde hyperlink" xfId="38" builtinId="9" hidden="1"/>
    <cellStyle name="Gevolgde hyperlink" xfId="40" builtinId="9" hidden="1"/>
    <cellStyle name="Gevolgde hyperlink" xfId="42" builtinId="9" hidden="1"/>
    <cellStyle name="Gevolgde hyperlink" xfId="44" builtinId="9" hidden="1"/>
    <cellStyle name="Gevolgde hyperlink" xfId="46" builtinId="9" hidden="1"/>
    <cellStyle name="Gevolgde hyperlink" xfId="48" builtinId="9" hidden="1"/>
    <cellStyle name="Gevolgde hyperlink" xfId="50" builtinId="9" hidden="1"/>
    <cellStyle name="Gevolgde hyperlink" xfId="52" builtinId="9" hidden="1"/>
    <cellStyle name="Gevolgde hyperlink" xfId="54" builtinId="9" hidden="1"/>
    <cellStyle name="Gevolgde hyperlink" xfId="56" builtinId="9" hidden="1"/>
    <cellStyle name="Gevolgde hyperlink" xfId="58" builtinId="9" hidden="1"/>
    <cellStyle name="Gevolgde hyperlink" xfId="60" builtinId="9" hidden="1"/>
    <cellStyle name="Gevolgde hyperlink" xfId="62" builtinId="9" hidden="1"/>
    <cellStyle name="Gevolgde hyperlink" xfId="64" builtinId="9" hidden="1"/>
    <cellStyle name="Gevolgde hyperlink" xfId="66" builtinId="9" hidden="1"/>
    <cellStyle name="Gevolgde hyperlink" xfId="68" builtinId="9" hidden="1"/>
    <cellStyle name="Gevolgde hyperlink" xfId="70" builtinId="9" hidden="1"/>
    <cellStyle name="Gevolgde hyperlink" xfId="72" builtinId="9" hidden="1"/>
    <cellStyle name="Gevolgde hyperlink" xfId="74" builtinId="9" hidden="1"/>
    <cellStyle name="Gevolgde hyperlink" xfId="76" builtinId="9" hidden="1"/>
    <cellStyle name="Gevolgde hyperlink" xfId="78" builtinId="9" hidden="1"/>
    <cellStyle name="Gevolgde hyperlink" xfId="80" builtinId="9" hidden="1"/>
    <cellStyle name="Gevolgde hyperlink" xfId="82" builtinId="9" hidden="1"/>
    <cellStyle name="Gevolgde hyperlink" xfId="84" builtinId="9" hidden="1"/>
    <cellStyle name="Gevolgde hyperlink" xfId="86" builtinId="9" hidden="1"/>
    <cellStyle name="Gevolgde hyperlink" xfId="88" builtinId="9" hidden="1"/>
    <cellStyle name="Gevolgde hyperlink" xfId="90" builtinId="9" hidden="1"/>
    <cellStyle name="Gevolgde hyperlink" xfId="92" builtinId="9" hidden="1"/>
    <cellStyle name="Gevolgde hyperlink" xfId="94" builtinId="9" hidden="1"/>
    <cellStyle name="Gevolgde hyperlink" xfId="96" builtinId="9" hidden="1"/>
    <cellStyle name="Gevolgde hyperlink" xfId="98" builtinId="9" hidden="1"/>
    <cellStyle name="Gevolgde hyperlink" xfId="100" builtinId="9" hidden="1"/>
    <cellStyle name="Gevolgde hyperlink" xfId="102" builtinId="9" hidden="1"/>
    <cellStyle name="Gevolgde hyperlink" xfId="104" builtinId="9" hidden="1"/>
    <cellStyle name="Gevolgde hyperlink" xfId="106" builtinId="9" hidden="1"/>
    <cellStyle name="Gevolgde hyperlink" xfId="108" builtinId="9" hidden="1"/>
    <cellStyle name="Gevolgde hyperlink" xfId="110" builtinId="9" hidden="1"/>
    <cellStyle name="Gevolgde hyperlink" xfId="112" builtinId="9" hidden="1"/>
    <cellStyle name="Gevolgde hyperlink" xfId="115" builtinId="9" hidden="1"/>
    <cellStyle name="Gevolgde hyperlink" xfId="117" builtinId="9" hidden="1"/>
    <cellStyle name="Gevolgde hyperlink" xfId="119" builtinId="9" hidden="1"/>
    <cellStyle name="Gevolgde hyperlink" xfId="121" builtinId="9" hidden="1"/>
    <cellStyle name="Gevolgde hyperlink" xfId="123" builtinId="9" hidden="1"/>
    <cellStyle name="Gevolgde hyperlink" xfId="125" builtinId="9" hidden="1"/>
    <cellStyle name="Gevolgde hyperlink" xfId="127" builtinId="9" hidden="1"/>
    <cellStyle name="Gevolgde hyperlink" xfId="129" builtinId="9" hidden="1"/>
    <cellStyle name="Gevolgde hyperlink" xfId="131" builtinId="9" hidden="1"/>
    <cellStyle name="Gevolgde hyperlink" xfId="133" builtinId="9" hidden="1"/>
    <cellStyle name="Gevolgde hyperlink" xfId="135" builtinId="9" hidden="1"/>
    <cellStyle name="Gevolgde hyperlink" xfId="137" builtinId="9" hidden="1"/>
    <cellStyle name="Gevolgde hyperlink" xfId="139" builtinId="9" hidden="1"/>
    <cellStyle name="Gevolgde hyperlink" xfId="141" builtinId="9" hidden="1"/>
    <cellStyle name="Gevolgde hyperlink" xfId="143" builtinId="9" hidden="1"/>
    <cellStyle name="Gevolgde hyperlink" xfId="145" builtinId="9" hidden="1"/>
    <cellStyle name="Gevolgde hyperlink" xfId="146" builtinId="9" hidden="1"/>
    <cellStyle name="Gevolgde hyperlink" xfId="147" builtinId="9" hidden="1"/>
    <cellStyle name="Gevolgde hyperlink" xfId="148" builtinId="9" hidden="1"/>
    <cellStyle name="Gevolgde hyperlink" xfId="149" builtinId="9" hidden="1"/>
    <cellStyle name="Gevolgde hyperlink" xfId="150" builtinId="9" hidden="1"/>
    <cellStyle name="Gevolgde hyperlink" xfId="151" builtinId="9" hidden="1"/>
    <cellStyle name="Gevolgde hyperlink" xfId="152" builtinId="9" hidden="1"/>
    <cellStyle name="Gevolgde hyperlink" xfId="153" builtinId="9" hidden="1"/>
    <cellStyle name="Gevolgde hyperlink" xfId="154" builtinId="9" hidden="1"/>
    <cellStyle name="Gevolgde hyperlink" xfId="155" builtinId="9" hidden="1"/>
    <cellStyle name="Gevolgde hyperlink" xfId="156" builtinId="9" hidden="1"/>
    <cellStyle name="Gevolgde hyperlink" xfId="157" builtinId="9" hidden="1"/>
    <cellStyle name="Gevolgde hyperlink" xfId="158" builtinId="9" hidden="1"/>
    <cellStyle name="Gevolgde hyperlink" xfId="159" builtinId="9" hidden="1"/>
    <cellStyle name="Gevolgde hyperlink" xfId="160" builtinId="9" hidden="1"/>
    <cellStyle name="Gevolgde hyperlink" xfId="161" builtinId="9" hidden="1"/>
    <cellStyle name="Gevolgde hyperlink" xfId="162" builtinId="9" hidden="1"/>
    <cellStyle name="Gevolgde hyperlink" xfId="163" builtinId="9" hidden="1"/>
    <cellStyle name="Gevolgde hyperlink" xfId="164" builtinId="9" hidden="1"/>
    <cellStyle name="Gevolgde hyperlink" xfId="165" builtinId="9" hidden="1"/>
    <cellStyle name="Gevolgde hyperlink" xfId="166" builtinId="9" hidden="1"/>
    <cellStyle name="Gevolgde hyperlink" xfId="167" builtinId="9" hidden="1"/>
    <cellStyle name="Gevolgde hyperlink" xfId="168" builtinId="9" hidden="1"/>
    <cellStyle name="Gevolgde hyperlink" xfId="169" builtinId="9" hidden="1"/>
    <cellStyle name="Gevolgde hyperlink" xfId="170" builtinId="9" hidden="1"/>
    <cellStyle name="Gevolgde hyperlink" xfId="171" builtinId="9" hidden="1"/>
    <cellStyle name="Gevolgde hyperlink" xfId="172" builtinId="9" hidden="1"/>
    <cellStyle name="Gevolgde hyperlink" xfId="173" builtinId="9" hidden="1"/>
    <cellStyle name="Gevolgde hyperlink" xfId="174" builtinId="9" hidden="1"/>
    <cellStyle name="Gevolgde hyperlink" xfId="175" builtinId="9" hidden="1"/>
    <cellStyle name="Gevolgde hyperlink" xfId="176" builtinId="9" hidden="1"/>
    <cellStyle name="Gevolgde hyperlink" xfId="177" builtinId="9" hidden="1"/>
    <cellStyle name="Gevolgde hyperlink" xfId="178" builtinId="9" hidden="1"/>
    <cellStyle name="Gevolgde hyperlink" xfId="179" builtinId="9" hidden="1"/>
    <cellStyle name="Gevolgde hyperlink" xfId="180" builtinId="9" hidden="1"/>
    <cellStyle name="Gevolgde hyperlink" xfId="181" builtinId="9" hidden="1"/>
    <cellStyle name="Gevolgde hyperlink" xfId="182" builtinId="9" hidden="1"/>
    <cellStyle name="Gevolgde hyperlink" xfId="183" builtinId="9" hidden="1"/>
    <cellStyle name="Gevolgde hyperlink" xfId="185" builtinId="9" hidden="1"/>
    <cellStyle name="Gevolgde hyperlink" xfId="187" builtinId="9" hidden="1"/>
    <cellStyle name="Gevolgde hyperlink" xfId="189" builtinId="9" hidden="1"/>
    <cellStyle name="Gevolgde hyperlink" xfId="191" builtinId="9" hidden="1"/>
    <cellStyle name="Gevolgde hyperlink" xfId="193" builtinId="9" hidden="1"/>
    <cellStyle name="Gevolgde hyperlink" xfId="195" builtinId="9" hidden="1"/>
    <cellStyle name="Gevolgde hyperlink" xfId="197" builtinId="9" hidden="1"/>
    <cellStyle name="Gevolgde hyperlink" xfId="199" builtinId="9" hidden="1"/>
    <cellStyle name="Gevolgde hyperlink" xfId="201" builtinId="9" hidden="1"/>
    <cellStyle name="Gevolgde hyperlink" xfId="203" builtinId="9" hidden="1"/>
    <cellStyle name="Gevolgde hyperlink" xfId="205" builtinId="9" hidden="1"/>
    <cellStyle name="Gevolgde hyperlink" xfId="207" builtinId="9" hidden="1"/>
    <cellStyle name="Gevolgde hyperlink" xfId="209" builtinId="9" hidden="1"/>
    <cellStyle name="Gevolgde hyperlink" xfId="211" builtinId="9" hidden="1"/>
    <cellStyle name="Gevolgde hyperlink" xfId="213" builtinId="9" hidden="1"/>
    <cellStyle name="Gevolgde hyperlink" xfId="215" builtinId="9" hidden="1"/>
    <cellStyle name="Gevolgde hyperlink" xfId="217" builtinId="9" hidden="1"/>
    <cellStyle name="Gevolgde hyperlink" xfId="219" builtinId="9" hidden="1"/>
    <cellStyle name="Gevolgde hyperlink" xfId="221" builtinId="9" hidden="1"/>
    <cellStyle name="Gevolgde hyperlink" xfId="223" builtinId="9" hidden="1"/>
    <cellStyle name="Gevolgde hyperlink" xfId="225" builtinId="9" hidden="1"/>
    <cellStyle name="Gevolgde hyperlink" xfId="227" builtinId="9" hidden="1"/>
    <cellStyle name="Gevolgde hyperlink" xfId="229" builtinId="9" hidden="1"/>
    <cellStyle name="Gevolgde hyperlink" xfId="231" builtinId="9" hidden="1"/>
    <cellStyle name="Gevolgde hyperlink" xfId="233" builtinId="9" hidden="1"/>
    <cellStyle name="Gevolgde hyperlink" xfId="235" builtinId="9" hidden="1"/>
    <cellStyle name="Gevolgde hyperlink" xfId="237" builtinId="9" hidden="1"/>
    <cellStyle name="Gevolgde hyperlink" xfId="239" builtinId="9" hidden="1"/>
    <cellStyle name="Gevolgde hyperlink" xfId="241" builtinId="9" hidden="1"/>
    <cellStyle name="Gevolgde hyperlink" xfId="243" builtinId="9" hidden="1"/>
    <cellStyle name="Gevolgde hyperlink" xfId="245" builtinId="9" hidden="1"/>
    <cellStyle name="Gevolgde hyperlink" xfId="247" builtinId="9" hidden="1"/>
    <cellStyle name="Gevolgde hyperlink" xfId="249" builtinId="9" hidden="1"/>
    <cellStyle name="Gevolgde hyperlink" xfId="251"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Procent" xfId="113" builtinId="5"/>
    <cellStyle name="Standaard" xfId="0" builtinId="0"/>
  </cellStyles>
  <dxfs count="84">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lor rgb="FF9C0006"/>
      </font>
      <fill>
        <patternFill>
          <bgColor rgb="FFFFC7CE"/>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rgb="FFFF0000"/>
      </font>
      <fill>
        <patternFill patternType="solid">
          <fgColor indexed="64"/>
          <bgColor theme="0"/>
        </patternFill>
      </fill>
    </dxf>
    <dxf>
      <fill>
        <patternFill>
          <bgColor indexed="10"/>
        </patternFill>
      </fill>
    </dxf>
    <dxf>
      <font>
        <condense val="0"/>
        <extend val="0"/>
        <color auto="1"/>
      </font>
      <fill>
        <patternFill>
          <bgColor indexed="50"/>
        </patternFill>
      </fill>
    </dxf>
    <dxf>
      <font>
        <color auto="1"/>
      </font>
      <fill>
        <patternFill patternType="solid">
          <fgColor indexed="64"/>
          <bgColor rgb="FFFF0000"/>
        </patternFill>
      </fill>
    </dxf>
    <dxf>
      <font>
        <color theme="1"/>
      </font>
      <fill>
        <patternFill patternType="solid">
          <fgColor indexed="64"/>
          <bgColor rgb="FF008000"/>
        </patternFill>
      </fill>
    </dxf>
    <dxf>
      <fill>
        <patternFill>
          <bgColor indexed="10"/>
        </patternFill>
      </fill>
    </dxf>
    <dxf>
      <font>
        <condense val="0"/>
        <extend val="0"/>
        <color auto="1"/>
      </font>
      <fill>
        <patternFill>
          <bgColor indexed="5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auto="1"/>
      </font>
      <fill>
        <patternFill patternType="solid">
          <fgColor indexed="64"/>
          <bgColor rgb="FFFFFF00"/>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rgb="FFFF0000"/>
      </font>
      <fill>
        <patternFill patternType="solid">
          <fgColor indexed="64"/>
          <bgColor theme="0"/>
        </patternFill>
      </fill>
    </dxf>
    <dxf>
      <font>
        <color rgb="FFFF0000"/>
      </font>
      <fill>
        <patternFill patternType="solid">
          <fgColor indexed="64"/>
          <bgColor theme="0"/>
        </patternFill>
      </fill>
    </dxf>
    <dxf>
      <font>
        <color auto="1"/>
      </font>
      <fill>
        <patternFill patternType="solid">
          <fgColor indexed="64"/>
          <bgColor rgb="FFFFFF00"/>
        </patternFill>
      </fill>
    </dxf>
    <dxf>
      <fill>
        <patternFill>
          <bgColor indexed="10"/>
        </patternFill>
      </fill>
    </dxf>
    <dxf>
      <font>
        <condense val="0"/>
        <extend val="0"/>
        <color auto="1"/>
      </font>
      <fill>
        <patternFill>
          <bgColor indexed="50"/>
        </patternFill>
      </fill>
    </dxf>
    <dxf>
      <font>
        <color auto="1"/>
      </font>
      <fill>
        <patternFill patternType="solid">
          <fgColor indexed="64"/>
          <bgColor rgb="FFFF0000"/>
        </patternFill>
      </fill>
    </dxf>
    <dxf>
      <font>
        <color theme="1"/>
      </font>
      <fill>
        <patternFill patternType="solid">
          <fgColor indexed="64"/>
          <bgColor rgb="FF008000"/>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9"/>
        </patternFill>
      </fill>
    </dxf>
    <dxf>
      <font>
        <condense val="0"/>
        <extend val="0"/>
        <color indexed="16"/>
      </font>
      <fill>
        <patternFill patternType="solid">
          <fgColor indexed="64"/>
          <bgColor indexed="9"/>
        </patternFill>
      </fill>
    </dxf>
    <dxf>
      <font>
        <color indexed="17"/>
      </font>
      <fill>
        <patternFill patternType="solid">
          <fgColor indexed="64"/>
          <bgColor indexed="22"/>
        </patternFill>
      </fill>
    </dxf>
    <dxf>
      <font>
        <condense val="0"/>
        <extend val="0"/>
        <color indexed="16"/>
      </font>
      <fill>
        <patternFill patternType="solid">
          <fgColor indexed="64"/>
          <bgColor indexed="22"/>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FF00"/>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
      <font>
        <color auto="1"/>
      </font>
      <fill>
        <patternFill patternType="solid">
          <fgColor indexed="64"/>
          <bgColor rgb="FFFF0000"/>
        </patternFill>
      </fill>
    </dxf>
    <dxf>
      <font>
        <color theme="1"/>
      </font>
      <fill>
        <patternFill patternType="solid">
          <fgColor indexed="64"/>
          <bgColor rgb="FF00800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425114148557"/>
          <c:y val="8.4033656546280491E-2"/>
          <c:w val="0.79283390143339805"/>
          <c:h val="0.70588271498875499"/>
        </c:manualLayout>
      </c:layout>
      <c:scatterChart>
        <c:scatterStyle val="smoothMarker"/>
        <c:varyColors val="0"/>
        <c:ser>
          <c:idx val="0"/>
          <c:order val="0"/>
          <c:tx>
            <c:v>left monitor</c:v>
          </c:tx>
          <c:spPr>
            <a:ln w="28575">
              <a:noFill/>
            </a:ln>
          </c:spPr>
          <c:marker>
            <c:symbol val="diamond"/>
            <c:size val="5"/>
            <c:spPr>
              <a:solidFill>
                <a:srgbClr val="000080"/>
              </a:solidFill>
              <a:ln>
                <a:solidFill>
                  <a:srgbClr val="000080"/>
                </a:solidFill>
                <a:prstDash val="solid"/>
              </a:ln>
            </c:spPr>
          </c:marker>
          <c:xVal>
            <c:numRef>
              <c:f>'§5.4 Luminance response (GSDF)'!$B$18:$B$34</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(GSDF)'!$E$18:$E$34</c:f>
              <c:numCache>
                <c:formatCode>0.000</c:formatCode>
                <c:ptCount val="17"/>
                <c:pt idx="0">
                  <c:v>0.9898558462359851</c:v>
                </c:pt>
                <c:pt idx="1">
                  <c:v>0.72727272727272729</c:v>
                </c:pt>
                <c:pt idx="2">
                  <c:v>0.54897218863361541</c:v>
                </c:pt>
                <c:pt idx="3">
                  <c:v>0.45341159207630227</c:v>
                </c:pt>
                <c:pt idx="4">
                  <c:v>0.42709313264346205</c:v>
                </c:pt>
                <c:pt idx="5">
                  <c:v>0.37735849056603765</c:v>
                </c:pt>
                <c:pt idx="6">
                  <c:v>0.3493449781659389</c:v>
                </c:pt>
                <c:pt idx="7">
                  <c:v>0.3213728549141967</c:v>
                </c:pt>
                <c:pt idx="8">
                  <c:v>0.30716723549488051</c:v>
                </c:pt>
                <c:pt idx="9">
                  <c:v>0.28281117696867064</c:v>
                </c:pt>
                <c:pt idx="10">
                  <c:v>0.27179487179487166</c:v>
                </c:pt>
                <c:pt idx="11">
                  <c:v>0.26783968719452594</c:v>
                </c:pt>
                <c:pt idx="12">
                  <c:v>0.26217228464419473</c:v>
                </c:pt>
                <c:pt idx="13">
                  <c:v>0.24927536231884059</c:v>
                </c:pt>
                <c:pt idx="14">
                  <c:v>0.24434389140271492</c:v>
                </c:pt>
                <c:pt idx="15">
                  <c:v>0.24424778761061947</c:v>
                </c:pt>
                <c:pt idx="16">
                  <c:v>0.25584594222833562</c:v>
                </c:pt>
              </c:numCache>
            </c:numRef>
          </c:yVal>
          <c:smooth val="1"/>
          <c:extLst xmlns:c16r2="http://schemas.microsoft.com/office/drawing/2015/06/chart">
            <c:ext xmlns:c16="http://schemas.microsoft.com/office/drawing/2014/chart" uri="{C3380CC4-5D6E-409C-BE32-E72D297353CC}">
              <c16:uniqueId val="{00000000-7C5D-4419-915E-1CB6508E2F47}"/>
            </c:ext>
          </c:extLst>
        </c:ser>
        <c:ser>
          <c:idx val="2"/>
          <c:order val="1"/>
          <c:tx>
            <c:v>DICOM 3.14</c:v>
          </c:tx>
          <c:spPr>
            <a:ln w="12700">
              <a:solidFill>
                <a:srgbClr val="006411"/>
              </a:solidFill>
              <a:prstDash val="solid"/>
            </a:ln>
          </c:spPr>
          <c:marker>
            <c:symbol val="none"/>
          </c:marker>
          <c:xVal>
            <c:numRef>
              <c:f>'§5.4 Luminance response (GSDF)'!$I$18:$I$34</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(GSDF)'!$L$18:$L$34</c:f>
              <c:numCache>
                <c:formatCode>0.000</c:formatCode>
                <c:ptCount val="17"/>
                <c:pt idx="0">
                  <c:v>0.91809343204362526</c:v>
                </c:pt>
                <c:pt idx="1">
                  <c:v>0.69021658068784331</c:v>
                </c:pt>
                <c:pt idx="2">
                  <c:v>0.56063679965856017</c:v>
                </c:pt>
                <c:pt idx="3">
                  <c:v>0.47831234673663953</c:v>
                </c:pt>
                <c:pt idx="4">
                  <c:v>0.42218270375145561</c:v>
                </c:pt>
                <c:pt idx="5">
                  <c:v>0.38197367649849417</c:v>
                </c:pt>
                <c:pt idx="6">
                  <c:v>0.35210975291428953</c:v>
                </c:pt>
                <c:pt idx="7">
                  <c:v>0.32931791620173911</c:v>
                </c:pt>
                <c:pt idx="8">
                  <c:v>0.31155721253809876</c:v>
                </c:pt>
                <c:pt idx="9">
                  <c:v>0.2974925446772978</c:v>
                </c:pt>
                <c:pt idx="10">
                  <c:v>0.28621587558123468</c:v>
                </c:pt>
                <c:pt idx="11">
                  <c:v>0.27708933711847455</c:v>
                </c:pt>
                <c:pt idx="12">
                  <c:v>0.26965245109947233</c:v>
                </c:pt>
                <c:pt idx="13">
                  <c:v>0.26356493627201533</c:v>
                </c:pt>
                <c:pt idx="14">
                  <c:v>0.25857018430782835</c:v>
                </c:pt>
                <c:pt idx="15">
                  <c:v>0.25447121474025047</c:v>
                </c:pt>
                <c:pt idx="16">
                  <c:v>0.25099631616439094</c:v>
                </c:pt>
              </c:numCache>
            </c:numRef>
          </c:yVal>
          <c:smooth val="1"/>
          <c:extLst xmlns:c16r2="http://schemas.microsoft.com/office/drawing/2015/06/chart">
            <c:ext xmlns:c16="http://schemas.microsoft.com/office/drawing/2014/chart" uri="{C3380CC4-5D6E-409C-BE32-E72D297353CC}">
              <c16:uniqueId val="{00000001-7C5D-4419-915E-1CB6508E2F47}"/>
            </c:ext>
          </c:extLst>
        </c:ser>
        <c:ser>
          <c:idx val="1"/>
          <c:order val="2"/>
          <c:tx>
            <c:v>+10%</c:v>
          </c:tx>
          <c:spPr>
            <a:ln w="12700">
              <a:solidFill>
                <a:srgbClr val="339966"/>
              </a:solidFill>
              <a:prstDash val="sysDash"/>
            </a:ln>
          </c:spPr>
          <c:marker>
            <c:symbol val="none"/>
          </c:marker>
          <c:xVal>
            <c:numRef>
              <c:f>'§5.4 Luminance response (GSDF)'!$I$18:$I$34</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(GSDF)'!$M$18:$M$34</c:f>
              <c:numCache>
                <c:formatCode>0.000</c:formatCode>
                <c:ptCount val="17"/>
                <c:pt idx="0">
                  <c:v>1.0099027752479879</c:v>
                </c:pt>
                <c:pt idx="1">
                  <c:v>0.75923823875662766</c:v>
                </c:pt>
                <c:pt idx="2">
                  <c:v>0.61670047962441621</c:v>
                </c:pt>
                <c:pt idx="3">
                  <c:v>0.52614358141030348</c:v>
                </c:pt>
                <c:pt idx="4">
                  <c:v>0.4644009741266012</c:v>
                </c:pt>
                <c:pt idx="5">
                  <c:v>0.42017104414834361</c:v>
                </c:pt>
                <c:pt idx="6">
                  <c:v>0.3873207282057185</c:v>
                </c:pt>
                <c:pt idx="7">
                  <c:v>0.36224970782191301</c:v>
                </c:pt>
                <c:pt idx="8">
                  <c:v>0.34271293379190865</c:v>
                </c:pt>
                <c:pt idx="9">
                  <c:v>0.3272417991450276</c:v>
                </c:pt>
                <c:pt idx="10">
                  <c:v>0.31483746313935812</c:v>
                </c:pt>
                <c:pt idx="11">
                  <c:v>0.30479827083032202</c:v>
                </c:pt>
                <c:pt idx="12">
                  <c:v>0.29661769620941958</c:v>
                </c:pt>
                <c:pt idx="13">
                  <c:v>0.28992142989921688</c:v>
                </c:pt>
                <c:pt idx="14">
                  <c:v>0.28442720273861122</c:v>
                </c:pt>
                <c:pt idx="15">
                  <c:v>0.27991833621427553</c:v>
                </c:pt>
                <c:pt idx="16">
                  <c:v>0.27609594778083002</c:v>
                </c:pt>
              </c:numCache>
            </c:numRef>
          </c:yVal>
          <c:smooth val="1"/>
          <c:extLst xmlns:c16r2="http://schemas.microsoft.com/office/drawing/2015/06/chart">
            <c:ext xmlns:c16="http://schemas.microsoft.com/office/drawing/2014/chart" uri="{C3380CC4-5D6E-409C-BE32-E72D297353CC}">
              <c16:uniqueId val="{00000002-7C5D-4419-915E-1CB6508E2F47}"/>
            </c:ext>
          </c:extLst>
        </c:ser>
        <c:ser>
          <c:idx val="3"/>
          <c:order val="3"/>
          <c:tx>
            <c:strRef>
              <c:f>'§5.4 Luminance response (GSDF)'!$C$7</c:f>
              <c:strCache>
                <c:ptCount val="1"/>
                <c:pt idx="0">
                  <c:v>+/-10%</c:v>
                </c:pt>
              </c:strCache>
            </c:strRef>
          </c:tx>
          <c:spPr>
            <a:ln w="12700">
              <a:solidFill>
                <a:srgbClr val="339966"/>
              </a:solidFill>
              <a:prstDash val="sysDash"/>
            </a:ln>
          </c:spPr>
          <c:marker>
            <c:symbol val="none"/>
          </c:marker>
          <c:xVal>
            <c:numRef>
              <c:f>'§5.4 Luminance response (GSDF)'!$I$18:$I$34</c:f>
              <c:numCache>
                <c:formatCode>General</c:formatCode>
                <c:ptCount val="17"/>
                <c:pt idx="0">
                  <c:v>240</c:v>
                </c:pt>
                <c:pt idx="1">
                  <c:v>480</c:v>
                </c:pt>
                <c:pt idx="2">
                  <c:v>720</c:v>
                </c:pt>
                <c:pt idx="3">
                  <c:v>960</c:v>
                </c:pt>
                <c:pt idx="4">
                  <c:v>1200</c:v>
                </c:pt>
                <c:pt idx="5">
                  <c:v>1440</c:v>
                </c:pt>
                <c:pt idx="6">
                  <c:v>1680</c:v>
                </c:pt>
                <c:pt idx="7">
                  <c:v>1920</c:v>
                </c:pt>
                <c:pt idx="8">
                  <c:v>2160</c:v>
                </c:pt>
                <c:pt idx="9">
                  <c:v>2400</c:v>
                </c:pt>
                <c:pt idx="10">
                  <c:v>2640</c:v>
                </c:pt>
                <c:pt idx="11">
                  <c:v>2880</c:v>
                </c:pt>
                <c:pt idx="12">
                  <c:v>3120</c:v>
                </c:pt>
                <c:pt idx="13">
                  <c:v>3360</c:v>
                </c:pt>
                <c:pt idx="14">
                  <c:v>3600</c:v>
                </c:pt>
                <c:pt idx="15">
                  <c:v>3840</c:v>
                </c:pt>
                <c:pt idx="16">
                  <c:v>4080</c:v>
                </c:pt>
              </c:numCache>
            </c:numRef>
          </c:xVal>
          <c:yVal>
            <c:numRef>
              <c:f>'§5.4 Luminance response (GSDF)'!$N$18:$N$34</c:f>
              <c:numCache>
                <c:formatCode>0.000</c:formatCode>
                <c:ptCount val="17"/>
                <c:pt idx="0">
                  <c:v>0.82628408883926274</c:v>
                </c:pt>
                <c:pt idx="1">
                  <c:v>0.62119492261905895</c:v>
                </c:pt>
                <c:pt idx="2">
                  <c:v>0.50457311969270413</c:v>
                </c:pt>
                <c:pt idx="3">
                  <c:v>0.43048111206297557</c:v>
                </c:pt>
                <c:pt idx="4">
                  <c:v>0.37996443337631003</c:v>
                </c:pt>
                <c:pt idx="5">
                  <c:v>0.34377630884864474</c:v>
                </c:pt>
                <c:pt idx="6">
                  <c:v>0.31689877762286056</c:v>
                </c:pt>
                <c:pt idx="7">
                  <c:v>0.29638612458156521</c:v>
                </c:pt>
                <c:pt idx="8">
                  <c:v>0.28040149128428887</c:v>
                </c:pt>
                <c:pt idx="9">
                  <c:v>0.267743290209568</c:v>
                </c:pt>
                <c:pt idx="10">
                  <c:v>0.25759428802311124</c:v>
                </c:pt>
                <c:pt idx="11">
                  <c:v>0.24938040340662709</c:v>
                </c:pt>
                <c:pt idx="12">
                  <c:v>0.24268720598952509</c:v>
                </c:pt>
                <c:pt idx="13">
                  <c:v>0.23720844264481378</c:v>
                </c:pt>
                <c:pt idx="14">
                  <c:v>0.23271316587704552</c:v>
                </c:pt>
                <c:pt idx="15">
                  <c:v>0.22902409326622541</c:v>
                </c:pt>
                <c:pt idx="16">
                  <c:v>0.22589668454795184</c:v>
                </c:pt>
              </c:numCache>
            </c:numRef>
          </c:yVal>
          <c:smooth val="1"/>
          <c:extLst xmlns:c16r2="http://schemas.microsoft.com/office/drawing/2015/06/chart">
            <c:ext xmlns:c16="http://schemas.microsoft.com/office/drawing/2014/chart" uri="{C3380CC4-5D6E-409C-BE32-E72D297353CC}">
              <c16:uniqueId val="{00000003-7C5D-4419-915E-1CB6508E2F47}"/>
            </c:ext>
          </c:extLst>
        </c:ser>
        <c:dLbls>
          <c:showLegendKey val="0"/>
          <c:showVal val="0"/>
          <c:showCatName val="0"/>
          <c:showSerName val="0"/>
          <c:showPercent val="0"/>
          <c:showBubbleSize val="0"/>
        </c:dLbls>
        <c:axId val="260937984"/>
        <c:axId val="260945792"/>
      </c:scatterChart>
      <c:valAx>
        <c:axId val="260937984"/>
        <c:scaling>
          <c:orientation val="minMax"/>
        </c:scaling>
        <c:delete val="0"/>
        <c:axPos val="b"/>
        <c:title>
          <c:tx>
            <c:rich>
              <a:bodyPr/>
              <a:lstStyle/>
              <a:p>
                <a:pPr>
                  <a:defRPr sz="950" b="1" i="0" u="none" strike="noStrike" baseline="0">
                    <a:solidFill>
                      <a:srgbClr val="000000"/>
                    </a:solidFill>
                    <a:latin typeface="Arial"/>
                    <a:ea typeface="Arial"/>
                    <a:cs typeface="Arial"/>
                  </a:defRPr>
                </a:pPr>
                <a:r>
                  <a:rPr lang="nl-NL"/>
                  <a:t>p-values</a:t>
                </a:r>
              </a:p>
            </c:rich>
          </c:tx>
          <c:layout>
            <c:manualLayout>
              <c:xMode val="edge"/>
              <c:yMode val="edge"/>
              <c:x val="0.43418062818073916"/>
              <c:y val="0.8823533937359414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nl-NL"/>
          </a:p>
        </c:txPr>
        <c:crossAx val="260945792"/>
        <c:crossesAt val="0.1"/>
        <c:crossBetween val="midCat"/>
      </c:valAx>
      <c:valAx>
        <c:axId val="260945792"/>
        <c:scaling>
          <c:logBase val="10"/>
          <c:orientation val="minMax"/>
        </c:scaling>
        <c:delete val="0"/>
        <c:axPos val="l"/>
        <c:majorGridlines>
          <c:spPr>
            <a:ln w="3175">
              <a:solidFill>
                <a:srgbClr val="000000"/>
              </a:solidFill>
              <a:prstDash val="solid"/>
            </a:ln>
          </c:spPr>
        </c:majorGridlines>
        <c:title>
          <c:tx>
            <c:rich>
              <a:bodyPr/>
              <a:lstStyle/>
              <a:p>
                <a:pPr>
                  <a:defRPr sz="950" b="1" i="0" u="none" strike="noStrike" baseline="0">
                    <a:solidFill>
                      <a:srgbClr val="000000"/>
                    </a:solidFill>
                    <a:latin typeface="Arial"/>
                    <a:ea typeface="Arial"/>
                    <a:cs typeface="Arial"/>
                  </a:defRPr>
                </a:pPr>
                <a:r>
                  <a:rPr lang="nl-NL"/>
                  <a:t>dL/L</a:t>
                </a:r>
              </a:p>
            </c:rich>
          </c:tx>
          <c:layout>
            <c:manualLayout>
              <c:xMode val="edge"/>
              <c:yMode val="edge"/>
              <c:x val="2.3094714264932897E-2"/>
              <c:y val="0.38655482011289033"/>
            </c:manualLayout>
          </c:layout>
          <c:overlay val="0"/>
          <c:spPr>
            <a:noFill/>
            <a:ln w="25400">
              <a:noFill/>
            </a:ln>
          </c:spPr>
        </c:title>
        <c:numFmt formatCode="0.00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nl-NL"/>
          </a:p>
        </c:txPr>
        <c:crossAx val="260937984"/>
        <c:crosses val="autoZero"/>
        <c:crossBetween val="midCat"/>
      </c:valAx>
      <c:spPr>
        <a:noFill/>
        <a:ln w="12700">
          <a:solidFill>
            <a:srgbClr val="808080"/>
          </a:solidFill>
          <a:prstDash val="solid"/>
        </a:ln>
      </c:spPr>
    </c:plotArea>
    <c:legend>
      <c:legendPos val="r"/>
      <c:legendEntry>
        <c:idx val="2"/>
        <c:delete val="1"/>
      </c:legendEntry>
      <c:layout>
        <c:manualLayout>
          <c:xMode val="edge"/>
          <c:yMode val="edge"/>
          <c:x val="0.7110858401679"/>
          <c:y val="9.7839198671594629E-2"/>
          <c:w val="0.22401872836984893"/>
          <c:h val="0.1680673130925611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Arial"/>
              <a:ea typeface="Arial"/>
              <a:cs typeface="Arial"/>
            </a:defRPr>
          </a:pPr>
          <a:endParaRPr lang="nl-NL"/>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nl-NL"/>
    </a:p>
  </c:txPr>
  <c:printSettings>
    <c:headerFooter/>
    <c:pageMargins b="1" l="0.75000000000000133" r="0.75000000000000133" t="1"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25058004640408"/>
          <c:y val="9.8290598290598483E-2"/>
          <c:w val="0.80319682115270297"/>
          <c:h val="0.70085543208240864"/>
        </c:manualLayout>
      </c:layout>
      <c:scatterChart>
        <c:scatterStyle val="smoothMarker"/>
        <c:varyColors val="0"/>
        <c:ser>
          <c:idx val="0"/>
          <c:order val="0"/>
          <c:tx>
            <c:v>left monitor</c:v>
          </c:tx>
          <c:spPr>
            <a:ln w="12700">
              <a:solidFill>
                <a:srgbClr val="000080"/>
              </a:solidFill>
              <a:prstDash val="solid"/>
            </a:ln>
          </c:spPr>
          <c:marker>
            <c:symbol val="diamond"/>
            <c:size val="5"/>
            <c:spPr>
              <a:solidFill>
                <a:srgbClr val="000080"/>
              </a:solidFill>
              <a:ln>
                <a:solidFill>
                  <a:srgbClr val="000080"/>
                </a:solidFill>
                <a:prstDash val="solid"/>
              </a:ln>
            </c:spPr>
          </c:marker>
          <c:xVal>
            <c:numRef>
              <c:f>'§5.4 Luminance response (GSDF)'!$B$17:$B$34</c:f>
              <c:numCache>
                <c:formatCode>General</c:formatCode>
                <c:ptCount val="18"/>
                <c:pt idx="0">
                  <c:v>0</c:v>
                </c:pt>
                <c:pt idx="1">
                  <c:v>240</c:v>
                </c:pt>
                <c:pt idx="2">
                  <c:v>480</c:v>
                </c:pt>
                <c:pt idx="3">
                  <c:v>720</c:v>
                </c:pt>
                <c:pt idx="4">
                  <c:v>960</c:v>
                </c:pt>
                <c:pt idx="5">
                  <c:v>1200</c:v>
                </c:pt>
                <c:pt idx="6">
                  <c:v>1440</c:v>
                </c:pt>
                <c:pt idx="7">
                  <c:v>1680</c:v>
                </c:pt>
                <c:pt idx="8">
                  <c:v>1920</c:v>
                </c:pt>
                <c:pt idx="9">
                  <c:v>2160</c:v>
                </c:pt>
                <c:pt idx="10">
                  <c:v>2400</c:v>
                </c:pt>
                <c:pt idx="11">
                  <c:v>2640</c:v>
                </c:pt>
                <c:pt idx="12">
                  <c:v>2880</c:v>
                </c:pt>
                <c:pt idx="13">
                  <c:v>3120</c:v>
                </c:pt>
                <c:pt idx="14">
                  <c:v>3360</c:v>
                </c:pt>
                <c:pt idx="15">
                  <c:v>3600</c:v>
                </c:pt>
                <c:pt idx="16">
                  <c:v>3840</c:v>
                </c:pt>
                <c:pt idx="17">
                  <c:v>4080</c:v>
                </c:pt>
              </c:numCache>
            </c:numRef>
          </c:xVal>
          <c:yVal>
            <c:numRef>
              <c:f>'§5.4 Luminance response (GSDF)'!$D$17:$D$34</c:f>
              <c:numCache>
                <c:formatCode>0.000</c:formatCode>
                <c:ptCount val="18"/>
                <c:pt idx="0">
                  <c:v>44.842432518713593</c:v>
                </c:pt>
                <c:pt idx="1">
                  <c:v>86.246434066203832</c:v>
                </c:pt>
                <c:pt idx="2">
                  <c:v>127.22246989917156</c:v>
                </c:pt>
                <c:pt idx="3">
                  <c:v>165.13976848460555</c:v>
                </c:pt>
                <c:pt idx="4">
                  <c:v>201.45782526637558</c:v>
                </c:pt>
                <c:pt idx="5">
                  <c:v>240.05566489231748</c:v>
                </c:pt>
                <c:pt idx="6">
                  <c:v>277.60116556822192</c:v>
                </c:pt>
                <c:pt idx="7">
                  <c:v>315.17422999528821</c:v>
                </c:pt>
                <c:pt idx="8">
                  <c:v>351.99769788887016</c:v>
                </c:pt>
                <c:pt idx="9">
                  <c:v>389.10150677408745</c:v>
                </c:pt>
                <c:pt idx="10">
                  <c:v>424.7610819194274</c:v>
                </c:pt>
                <c:pt idx="11">
                  <c:v>460.27990937211291</c:v>
                </c:pt>
                <c:pt idx="12">
                  <c:v>496.36920568226429</c:v>
                </c:pt>
                <c:pt idx="13">
                  <c:v>532.62179094784142</c:v>
                </c:pt>
                <c:pt idx="14">
                  <c:v>567.82763058041951</c:v>
                </c:pt>
                <c:pt idx="15">
                  <c:v>602.95381308747051</c:v>
                </c:pt>
                <c:pt idx="16">
                  <c:v>638.60045564891732</c:v>
                </c:pt>
                <c:pt idx="17">
                  <c:v>676.4486856506428</c:v>
                </c:pt>
              </c:numCache>
            </c:numRef>
          </c:yVal>
          <c:smooth val="1"/>
          <c:extLst xmlns:c16r2="http://schemas.microsoft.com/office/drawing/2015/06/chart">
            <c:ext xmlns:c16="http://schemas.microsoft.com/office/drawing/2014/chart" uri="{C3380CC4-5D6E-409C-BE32-E72D297353CC}">
              <c16:uniqueId val="{00000000-B60A-4682-9A3D-C73167C5911E}"/>
            </c:ext>
          </c:extLst>
        </c:ser>
        <c:ser>
          <c:idx val="1"/>
          <c:order val="1"/>
          <c:tx>
            <c:v>right monitor</c:v>
          </c:tx>
          <c:spPr>
            <a:ln w="12700">
              <a:solidFill>
                <a:srgbClr val="FF00FF"/>
              </a:solidFill>
              <a:prstDash val="solid"/>
            </a:ln>
          </c:spPr>
          <c:marker>
            <c:symbol val="square"/>
            <c:size val="5"/>
            <c:spPr>
              <a:solidFill>
                <a:srgbClr val="FF00FF"/>
              </a:solidFill>
              <a:ln>
                <a:solidFill>
                  <a:srgbClr val="FF00FF"/>
                </a:solidFill>
                <a:prstDash val="solid"/>
              </a:ln>
            </c:spPr>
          </c:marker>
          <c:xVal>
            <c:numRef>
              <c:f>'§5.4 Luminance response (GSDF)'!#REF!</c:f>
            </c:numRef>
          </c:xVal>
          <c:yVal>
            <c:numRef>
              <c:f>'§5.4 Luminance response (GSDF)'!#REF!</c:f>
              <c:numCache>
                <c:formatCode>General</c:formatCode>
                <c:ptCount val="1"/>
                <c:pt idx="0">
                  <c:v>1</c:v>
                </c:pt>
              </c:numCache>
            </c:numRef>
          </c:yVal>
          <c:smooth val="1"/>
          <c:extLst xmlns:c16r2="http://schemas.microsoft.com/office/drawing/2015/06/chart">
            <c:ext xmlns:c16="http://schemas.microsoft.com/office/drawing/2014/chart" uri="{C3380CC4-5D6E-409C-BE32-E72D297353CC}">
              <c16:uniqueId val="{00000001-B60A-4682-9A3D-C73167C5911E}"/>
            </c:ext>
          </c:extLst>
        </c:ser>
        <c:ser>
          <c:idx val="2"/>
          <c:order val="2"/>
          <c:tx>
            <c:v>DICOM 3.14</c:v>
          </c:tx>
          <c:spPr>
            <a:ln w="12700">
              <a:solidFill>
                <a:srgbClr val="339966"/>
              </a:solidFill>
              <a:prstDash val="solid"/>
            </a:ln>
          </c:spPr>
          <c:marker>
            <c:symbol val="none"/>
          </c:marker>
          <c:xVal>
            <c:numRef>
              <c:f>'§5.4 Luminance response (GSDF)'!$I$17:$I$34</c:f>
              <c:numCache>
                <c:formatCode>General</c:formatCode>
                <c:ptCount val="18"/>
                <c:pt idx="0">
                  <c:v>0</c:v>
                </c:pt>
                <c:pt idx="1">
                  <c:v>240</c:v>
                </c:pt>
                <c:pt idx="2">
                  <c:v>480</c:v>
                </c:pt>
                <c:pt idx="3">
                  <c:v>720</c:v>
                </c:pt>
                <c:pt idx="4">
                  <c:v>960</c:v>
                </c:pt>
                <c:pt idx="5">
                  <c:v>1200</c:v>
                </c:pt>
                <c:pt idx="6">
                  <c:v>1440</c:v>
                </c:pt>
                <c:pt idx="7">
                  <c:v>1680</c:v>
                </c:pt>
                <c:pt idx="8">
                  <c:v>1920</c:v>
                </c:pt>
                <c:pt idx="9">
                  <c:v>2160</c:v>
                </c:pt>
                <c:pt idx="10">
                  <c:v>2400</c:v>
                </c:pt>
                <c:pt idx="11">
                  <c:v>2640</c:v>
                </c:pt>
                <c:pt idx="12">
                  <c:v>2880</c:v>
                </c:pt>
                <c:pt idx="13">
                  <c:v>3120</c:v>
                </c:pt>
                <c:pt idx="14">
                  <c:v>3360</c:v>
                </c:pt>
                <c:pt idx="15">
                  <c:v>3600</c:v>
                </c:pt>
                <c:pt idx="16">
                  <c:v>3840</c:v>
                </c:pt>
                <c:pt idx="17">
                  <c:v>4080</c:v>
                </c:pt>
              </c:numCache>
            </c:numRef>
          </c:xVal>
          <c:yVal>
            <c:numRef>
              <c:f>'§5.4 Luminance response (GSDF)'!$K$17:$K$34</c:f>
              <c:numCache>
                <c:formatCode>0.000</c:formatCode>
                <c:ptCount val="18"/>
                <c:pt idx="0">
                  <c:v>44.842432518713593</c:v>
                </c:pt>
                <c:pt idx="1">
                  <c:v>81.995741526474134</c:v>
                </c:pt>
                <c:pt idx="2">
                  <c:v>119.14905053423468</c:v>
                </c:pt>
                <c:pt idx="3">
                  <c:v>156.3023595419952</c:v>
                </c:pt>
                <c:pt idx="4">
                  <c:v>193.45566854975576</c:v>
                </c:pt>
                <c:pt idx="5">
                  <c:v>230.60897755751628</c:v>
                </c:pt>
                <c:pt idx="6">
                  <c:v>267.76228656527678</c:v>
                </c:pt>
                <c:pt idx="7">
                  <c:v>304.91559557303731</c:v>
                </c:pt>
                <c:pt idx="8">
                  <c:v>342.06890458079795</c:v>
                </c:pt>
                <c:pt idx="9">
                  <c:v>379.22221358855847</c:v>
                </c:pt>
                <c:pt idx="10">
                  <c:v>416.375522596319</c:v>
                </c:pt>
                <c:pt idx="11">
                  <c:v>453.52883160407953</c:v>
                </c:pt>
                <c:pt idx="12">
                  <c:v>490.68214061184005</c:v>
                </c:pt>
                <c:pt idx="13">
                  <c:v>527.83544961960058</c:v>
                </c:pt>
                <c:pt idx="14">
                  <c:v>564.98875862736111</c:v>
                </c:pt>
                <c:pt idx="15">
                  <c:v>602.14206763512163</c:v>
                </c:pt>
                <c:pt idx="16">
                  <c:v>639.29537664288227</c:v>
                </c:pt>
                <c:pt idx="17">
                  <c:v>676.4486856506428</c:v>
                </c:pt>
              </c:numCache>
            </c:numRef>
          </c:yVal>
          <c:smooth val="1"/>
          <c:extLst xmlns:c16r2="http://schemas.microsoft.com/office/drawing/2015/06/chart">
            <c:ext xmlns:c16="http://schemas.microsoft.com/office/drawing/2014/chart" uri="{C3380CC4-5D6E-409C-BE32-E72D297353CC}">
              <c16:uniqueId val="{00000002-B60A-4682-9A3D-C73167C5911E}"/>
            </c:ext>
          </c:extLst>
        </c:ser>
        <c:dLbls>
          <c:showLegendKey val="0"/>
          <c:showVal val="0"/>
          <c:showCatName val="0"/>
          <c:showSerName val="0"/>
          <c:showPercent val="0"/>
          <c:showBubbleSize val="0"/>
        </c:dLbls>
        <c:axId val="119023872"/>
        <c:axId val="119026048"/>
      </c:scatterChart>
      <c:valAx>
        <c:axId val="119023872"/>
        <c:scaling>
          <c:orientation val="minMax"/>
        </c:scaling>
        <c:delete val="0"/>
        <c:axPos val="b"/>
        <c:title>
          <c:tx>
            <c:rich>
              <a:bodyPr/>
              <a:lstStyle/>
              <a:p>
                <a:pPr>
                  <a:defRPr sz="950" b="1" i="0" u="none" strike="noStrike" baseline="0">
                    <a:solidFill>
                      <a:srgbClr val="000000"/>
                    </a:solidFill>
                    <a:latin typeface="Arial"/>
                    <a:ea typeface="Arial"/>
                    <a:cs typeface="Arial"/>
                  </a:defRPr>
                </a:pPr>
                <a:r>
                  <a:rPr lang="nl-NL"/>
                  <a:t>p-value</a:t>
                </a:r>
              </a:p>
            </c:rich>
          </c:tx>
          <c:layout>
            <c:manualLayout>
              <c:xMode val="edge"/>
              <c:yMode val="edge"/>
              <c:x val="0.3758700696055694"/>
              <c:y val="0.8803427988352163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nl-NL"/>
          </a:p>
        </c:txPr>
        <c:crossAx val="119026048"/>
        <c:crosses val="autoZero"/>
        <c:crossBetween val="midCat"/>
      </c:valAx>
      <c:valAx>
        <c:axId val="119026048"/>
        <c:scaling>
          <c:orientation val="minMax"/>
        </c:scaling>
        <c:delete val="0"/>
        <c:axPos val="l"/>
        <c:majorGridlines>
          <c:spPr>
            <a:ln w="3175">
              <a:solidFill>
                <a:srgbClr val="000000"/>
              </a:solidFill>
              <a:prstDash val="solid"/>
            </a:ln>
          </c:spPr>
        </c:majorGridlines>
        <c:title>
          <c:tx>
            <c:rich>
              <a:bodyPr/>
              <a:lstStyle/>
              <a:p>
                <a:pPr>
                  <a:defRPr sz="950" b="1" i="0" u="none" strike="noStrike" baseline="0">
                    <a:solidFill>
                      <a:srgbClr val="000000"/>
                    </a:solidFill>
                    <a:latin typeface="Arial"/>
                    <a:ea typeface="Arial"/>
                    <a:cs typeface="Arial"/>
                  </a:defRPr>
                </a:pPr>
                <a:r>
                  <a:rPr lang="nl-NL"/>
                  <a:t>JND</a:t>
                </a:r>
              </a:p>
            </c:rich>
          </c:tx>
          <c:layout>
            <c:manualLayout>
              <c:xMode val="edge"/>
              <c:yMode val="edge"/>
              <c:x val="3.0162412993039397E-2"/>
              <c:y val="0.3290601723801553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nl-NL"/>
          </a:p>
        </c:txPr>
        <c:crossAx val="119023872"/>
        <c:crosses val="autoZero"/>
        <c:crossBetween val="midCat"/>
      </c:valAx>
      <c:spPr>
        <a:noFill/>
        <a:ln w="25400">
          <a:noFill/>
        </a:ln>
      </c:spPr>
    </c:plotArea>
    <c:legend>
      <c:legendPos val="r"/>
      <c:layout>
        <c:manualLayout>
          <c:xMode val="edge"/>
          <c:yMode val="edge"/>
          <c:x val="0.14135576351752804"/>
          <c:y val="0.116373161424456"/>
          <c:w val="0.19721577726218101"/>
          <c:h val="0.17094034928839216"/>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Arial"/>
              <a:ea typeface="Arial"/>
              <a:cs typeface="Arial"/>
            </a:defRPr>
          </a:pPr>
          <a:endParaRPr lang="nl-NL"/>
        </a:p>
      </c:txPr>
    </c:legend>
    <c:plotVisOnly val="1"/>
    <c:dispBlanksAs val="gap"/>
    <c:showDLblsOverMax val="0"/>
  </c:chart>
  <c:spPr>
    <a:solidFill>
      <a:srgbClr val="FFFFFF"/>
    </a:solidFill>
    <a:ln w="3175">
      <a:solidFill>
        <a:srgbClr val="000000"/>
      </a:solidFill>
      <a:prstDash val="solid"/>
    </a:ln>
  </c:spPr>
  <c:txPr>
    <a:bodyPr/>
    <a:lstStyle/>
    <a:p>
      <a:pPr>
        <a:defRPr sz="1450" b="0" i="0" u="none" strike="noStrike" baseline="0">
          <a:solidFill>
            <a:srgbClr val="000000"/>
          </a:solidFill>
          <a:latin typeface="Arial"/>
          <a:ea typeface="Arial"/>
          <a:cs typeface="Arial"/>
        </a:defRPr>
      </a:pPr>
      <a:endParaRPr lang="nl-NL"/>
    </a:p>
  </c:txPr>
  <c:printSettings>
    <c:headerFooter/>
    <c:pageMargins b="1" l="0.75000000000000133" r="0.75000000000000133"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63500</xdr:colOff>
      <xdr:row>6</xdr:row>
      <xdr:rowOff>12700</xdr:rowOff>
    </xdr:from>
    <xdr:to>
      <xdr:col>6</xdr:col>
      <xdr:colOff>812800</xdr:colOff>
      <xdr:row>31</xdr:row>
      <xdr:rowOff>101600</xdr:rowOff>
    </xdr:to>
    <xdr:pic>
      <xdr:nvPicPr>
        <xdr:cNvPr id="2" name="Afbeelding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9000" y="927100"/>
          <a:ext cx="4876800" cy="389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355600</xdr:colOff>
      <xdr:row>37</xdr:row>
      <xdr:rowOff>139700</xdr:rowOff>
    </xdr:from>
    <xdr:to>
      <xdr:col>8</xdr:col>
      <xdr:colOff>431800</xdr:colOff>
      <xdr:row>62</xdr:row>
      <xdr:rowOff>12700</xdr:rowOff>
    </xdr:to>
    <xdr:graphicFrame macro="">
      <xdr:nvGraphicFramePr>
        <xdr:cNvPr id="2" name="Grafiek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419100</xdr:colOff>
      <xdr:row>65</xdr:row>
      <xdr:rowOff>38100</xdr:rowOff>
    </xdr:from>
    <xdr:to>
      <xdr:col>8</xdr:col>
      <xdr:colOff>509000</xdr:colOff>
      <xdr:row>89</xdr:row>
      <xdr:rowOff>124499</xdr:rowOff>
    </xdr:to>
    <xdr:graphicFrame macro="">
      <xdr:nvGraphicFramePr>
        <xdr:cNvPr id="4" name="Grafiek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16</xdr:row>
          <xdr:rowOff>19050</xdr:rowOff>
        </xdr:from>
        <xdr:to>
          <xdr:col>9</xdr:col>
          <xdr:colOff>352425</xdr:colOff>
          <xdr:row>18</xdr:row>
          <xdr:rowOff>95250</xdr:rowOff>
        </xdr:to>
        <xdr:sp macro="" textlink="">
          <xdr:nvSpPr>
            <xdr:cNvPr id="5122" name="Object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3.xml"/><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0"/>
  <sheetViews>
    <sheetView tabSelected="1" workbookViewId="0"/>
  </sheetViews>
  <sheetFormatPr defaultColWidth="10.85546875" defaultRowHeight="12.75"/>
  <cols>
    <col min="1" max="1" width="5" style="53" customWidth="1"/>
    <col min="2" max="16384" width="10.85546875" style="53"/>
  </cols>
  <sheetData>
    <row r="2" spans="2:2" ht="30">
      <c r="B2" s="155" t="s">
        <v>164</v>
      </c>
    </row>
    <row r="4" spans="2:2" ht="20.25">
      <c r="B4" s="156" t="s">
        <v>145</v>
      </c>
    </row>
    <row r="36" spans="2:2">
      <c r="B36" s="173" t="s">
        <v>159</v>
      </c>
    </row>
    <row r="37" spans="2:2">
      <c r="B37" s="53" t="s">
        <v>160</v>
      </c>
    </row>
    <row r="38" spans="2:2">
      <c r="B38" s="172" t="s">
        <v>161</v>
      </c>
    </row>
    <row r="39" spans="2:2">
      <c r="B39" s="172" t="s">
        <v>162</v>
      </c>
    </row>
    <row r="40" spans="2:2">
      <c r="B40" s="53" t="s">
        <v>163</v>
      </c>
    </row>
  </sheetData>
  <pageMargins left="0.75" right="0.75" top="1" bottom="1" header="0.5" footer="0.5"/>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4"/>
  <sheetViews>
    <sheetView workbookViewId="0">
      <selection activeCell="C4" sqref="C4:D4"/>
    </sheetView>
  </sheetViews>
  <sheetFormatPr defaultColWidth="10.85546875" defaultRowHeight="12.75"/>
  <cols>
    <col min="1" max="16384" width="10.85546875" style="53"/>
  </cols>
  <sheetData>
    <row r="1" spans="1:251" s="3" customFormat="1" ht="29.1" customHeight="1">
      <c r="A1" s="1" t="s">
        <v>120</v>
      </c>
      <c r="B1" s="2"/>
      <c r="C1" s="2"/>
      <c r="D1" s="2"/>
      <c r="E1" s="2"/>
      <c r="F1" s="2"/>
      <c r="G1" s="2"/>
      <c r="H1" s="2"/>
      <c r="I1" s="2"/>
      <c r="J1" s="2"/>
      <c r="K1" s="2"/>
    </row>
    <row r="2" spans="1:251" s="3" customFormat="1" ht="13.5" thickBot="1">
      <c r="A2" s="4"/>
    </row>
    <row r="3" spans="1:251" s="3" customFormat="1" ht="15.95" customHeight="1">
      <c r="A3" s="5" t="s">
        <v>18</v>
      </c>
      <c r="B3" s="6"/>
      <c r="C3" s="6"/>
      <c r="D3" s="6"/>
      <c r="I3" s="188" t="s">
        <v>21</v>
      </c>
      <c r="J3" s="189"/>
    </row>
    <row r="4" spans="1:251" s="3" customFormat="1">
      <c r="A4" s="9" t="s">
        <v>19</v>
      </c>
      <c r="B4" s="10"/>
      <c r="C4" s="177"/>
      <c r="D4" s="177"/>
      <c r="E4" s="10"/>
      <c r="F4" s="10"/>
      <c r="I4" s="190"/>
      <c r="J4" s="191"/>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row>
    <row r="5" spans="1:251" s="3" customFormat="1" ht="12.95" customHeight="1">
      <c r="A5" s="9"/>
      <c r="B5" s="10"/>
      <c r="C5" s="10"/>
      <c r="D5" s="10"/>
      <c r="E5" s="10"/>
      <c r="F5" s="10"/>
      <c r="I5" s="192" t="str">
        <f>IF(H14="&lt;&lt; kies &gt;&gt;","?",IF(H15="&lt;&lt; kies &gt;&gt;","?",IF(H16="&lt;&lt; kies &gt;&gt;","?",IF(H20="&lt;&lt; kies &gt;&gt;","?",IF(H21="&lt;&lt; kies &gt;&gt;","?",IF(H22="&lt;&lt; kies &gt;&gt;","?",H24))))))</f>
        <v>?</v>
      </c>
      <c r="J5" s="193"/>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row>
    <row r="6" spans="1:251" s="3" customFormat="1" ht="15.95" customHeight="1" thickBot="1">
      <c r="A6" s="196" t="s">
        <v>38</v>
      </c>
      <c r="B6" s="196"/>
      <c r="C6" s="3" t="s">
        <v>40</v>
      </c>
      <c r="I6" s="194"/>
      <c r="J6" s="195"/>
    </row>
    <row r="7" spans="1:251">
      <c r="C7" s="14" t="s">
        <v>39</v>
      </c>
    </row>
    <row r="10" spans="1:251" s="3" customFormat="1" ht="18" customHeight="1">
      <c r="A10" s="18" t="s">
        <v>37</v>
      </c>
      <c r="B10" s="19"/>
      <c r="C10" s="19"/>
      <c r="D10" s="19"/>
      <c r="E10" s="19"/>
      <c r="F10" s="19"/>
      <c r="G10" s="19"/>
      <c r="H10" s="20"/>
      <c r="I10" s="20"/>
      <c r="J10" s="20"/>
      <c r="K10" s="2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row>
    <row r="12" spans="1:251" ht="15">
      <c r="A12" s="183" t="s">
        <v>26</v>
      </c>
      <c r="B12" s="183"/>
      <c r="C12" s="183"/>
      <c r="D12" s="183"/>
      <c r="E12" s="183"/>
      <c r="F12" s="183"/>
      <c r="G12" s="183"/>
      <c r="H12" s="183"/>
      <c r="I12" s="183"/>
      <c r="J12" s="183"/>
      <c r="K12" s="183"/>
    </row>
    <row r="13" spans="1:251" ht="14.25">
      <c r="A13" s="45" t="s">
        <v>27</v>
      </c>
      <c r="B13" s="45"/>
      <c r="C13" s="45"/>
      <c r="D13" s="46"/>
      <c r="E13" s="46"/>
      <c r="F13" s="46"/>
      <c r="G13" s="46"/>
      <c r="H13" s="47" t="s">
        <v>21</v>
      </c>
      <c r="I13" s="187" t="s">
        <v>28</v>
      </c>
      <c r="J13" s="187"/>
      <c r="K13" s="187"/>
    </row>
    <row r="14" spans="1:251" ht="28.5">
      <c r="A14" s="180" t="s">
        <v>29</v>
      </c>
      <c r="B14" s="180"/>
      <c r="C14" s="180"/>
      <c r="D14" s="180"/>
      <c r="E14" s="180"/>
      <c r="F14" s="180"/>
      <c r="G14" s="180"/>
      <c r="H14" s="54" t="s">
        <v>152</v>
      </c>
      <c r="I14" s="48"/>
      <c r="J14" s="48"/>
      <c r="K14" s="48"/>
    </row>
    <row r="15" spans="1:251" ht="28.5">
      <c r="A15" s="181" t="s">
        <v>30</v>
      </c>
      <c r="B15" s="181"/>
      <c r="C15" s="181"/>
      <c r="D15" s="181"/>
      <c r="E15" s="181"/>
      <c r="F15" s="181"/>
      <c r="G15" s="181"/>
      <c r="H15" s="54" t="s">
        <v>152</v>
      </c>
      <c r="I15" s="49"/>
      <c r="J15" s="49"/>
      <c r="K15" s="49"/>
    </row>
    <row r="16" spans="1:251" ht="28.5">
      <c r="A16" s="180" t="s">
        <v>31</v>
      </c>
      <c r="B16" s="180"/>
      <c r="C16" s="180"/>
      <c r="D16" s="180"/>
      <c r="E16" s="180"/>
      <c r="F16" s="180"/>
      <c r="G16" s="180"/>
      <c r="H16" s="54" t="s">
        <v>152</v>
      </c>
      <c r="I16" s="48"/>
      <c r="J16" s="48"/>
      <c r="K16" s="48"/>
    </row>
    <row r="17" spans="1:11" ht="14.25">
      <c r="A17" s="50"/>
      <c r="B17" s="50"/>
      <c r="C17" s="50"/>
      <c r="D17" s="50"/>
      <c r="E17" s="50"/>
      <c r="F17" s="50"/>
      <c r="G17" s="50"/>
      <c r="H17" s="51"/>
      <c r="I17" s="50"/>
      <c r="J17" s="50"/>
      <c r="K17" s="50"/>
    </row>
    <row r="18" spans="1:11" ht="15">
      <c r="A18" s="183" t="s">
        <v>32</v>
      </c>
      <c r="B18" s="183"/>
      <c r="C18" s="183"/>
      <c r="D18" s="183"/>
      <c r="E18" s="183"/>
      <c r="F18" s="183"/>
      <c r="G18" s="183"/>
      <c r="H18" s="183"/>
      <c r="I18" s="183"/>
      <c r="J18" s="183"/>
      <c r="K18" s="183"/>
    </row>
    <row r="19" spans="1:11" ht="14.25">
      <c r="A19" s="45" t="s">
        <v>27</v>
      </c>
      <c r="B19" s="45"/>
      <c r="C19" s="45"/>
      <c r="D19" s="46"/>
      <c r="E19" s="46"/>
      <c r="F19" s="46"/>
      <c r="G19" s="46"/>
      <c r="H19" s="47" t="s">
        <v>21</v>
      </c>
      <c r="I19" s="187" t="s">
        <v>28</v>
      </c>
      <c r="J19" s="187"/>
      <c r="K19" s="187"/>
    </row>
    <row r="20" spans="1:11" ht="28.5">
      <c r="A20" s="180" t="s">
        <v>33</v>
      </c>
      <c r="B20" s="180"/>
      <c r="C20" s="180"/>
      <c r="D20" s="180"/>
      <c r="E20" s="180"/>
      <c r="F20" s="180"/>
      <c r="G20" s="180"/>
      <c r="H20" s="54" t="s">
        <v>152</v>
      </c>
      <c r="I20" s="48"/>
      <c r="J20" s="48"/>
      <c r="K20" s="48"/>
    </row>
    <row r="21" spans="1:11" ht="28.5">
      <c r="A21" s="181" t="s">
        <v>34</v>
      </c>
      <c r="B21" s="181"/>
      <c r="C21" s="181"/>
      <c r="D21" s="181"/>
      <c r="E21" s="181"/>
      <c r="F21" s="181"/>
      <c r="G21" s="181"/>
      <c r="H21" s="54" t="s">
        <v>152</v>
      </c>
      <c r="I21" s="49"/>
      <c r="J21" s="49"/>
      <c r="K21" s="49"/>
    </row>
    <row r="22" spans="1:11" ht="28.5">
      <c r="A22" s="180" t="s">
        <v>35</v>
      </c>
      <c r="B22" s="180"/>
      <c r="C22" s="180"/>
      <c r="D22" s="180"/>
      <c r="E22" s="180"/>
      <c r="F22" s="180"/>
      <c r="G22" s="180"/>
      <c r="H22" s="54" t="s">
        <v>152</v>
      </c>
      <c r="I22" s="48"/>
      <c r="J22" s="48"/>
      <c r="K22" s="48"/>
    </row>
    <row r="23" spans="1:11" ht="14.25">
      <c r="A23" s="52"/>
      <c r="B23" s="52"/>
      <c r="C23" s="52"/>
      <c r="D23" s="52"/>
      <c r="E23" s="52"/>
      <c r="F23" s="52"/>
      <c r="G23" s="52"/>
      <c r="H23" s="52"/>
      <c r="I23" s="52"/>
      <c r="J23" s="52"/>
      <c r="K23" s="52"/>
    </row>
    <row r="24" spans="1:11" ht="15" customHeight="1">
      <c r="A24" s="45"/>
      <c r="B24" s="45"/>
      <c r="C24" s="45"/>
      <c r="D24" s="45"/>
      <c r="E24" s="45"/>
      <c r="F24" s="182" t="s">
        <v>36</v>
      </c>
      <c r="G24" s="182"/>
      <c r="H24" s="171" t="str">
        <f>IF(H14="&lt;&lt; kies &gt;&gt;","?",IF(H15="&lt;&lt; kies &gt;&gt;","?",IF(H16="&lt;&lt; kies &gt;&gt;","?",IF(H20="&lt;&lt; kies &gt;&gt;","?",IF(H21="&lt;&lt; kies &gt;&gt;","?",IF(H22="&lt;&lt; kies &gt;&gt;","?",IF(C4="Diagnostisch primair",IF(H14="Ja",IF(H15="Ja",IF(H16="Ja",IF(H20="Ja",IF(H21="Ja",IF(H22="Ja","Pass","Fail"),"Fail"),"Fail"),"Fail"),"Fail"),"Fail"),"Geen grenswaarde")))))))</f>
        <v>?</v>
      </c>
      <c r="I24" s="170"/>
      <c r="J24" s="170"/>
      <c r="K24" s="170"/>
    </row>
  </sheetData>
  <mergeCells count="15">
    <mergeCell ref="I3:J4"/>
    <mergeCell ref="C4:D4"/>
    <mergeCell ref="A6:B6"/>
    <mergeCell ref="A16:G16"/>
    <mergeCell ref="F24:G24"/>
    <mergeCell ref="I5:J6"/>
    <mergeCell ref="A12:K12"/>
    <mergeCell ref="I13:K13"/>
    <mergeCell ref="A14:G14"/>
    <mergeCell ref="A15:G15"/>
    <mergeCell ref="A18:K18"/>
    <mergeCell ref="I19:K19"/>
    <mergeCell ref="A20:G20"/>
    <mergeCell ref="A21:G21"/>
    <mergeCell ref="A22:G22"/>
  </mergeCells>
  <conditionalFormatting sqref="I5:J6">
    <cfRule type="containsText" dxfId="7" priority="7" operator="containsText" text="Pass">
      <formula>NOT(ISERROR(SEARCH("Pass",I5)))</formula>
    </cfRule>
    <cfRule type="containsText" dxfId="6" priority="8" operator="containsText" text="Fail">
      <formula>NOT(ISERROR(SEARCH("Fail",I5)))</formula>
    </cfRule>
  </conditionalFormatting>
  <conditionalFormatting sqref="H14 H16 H20 H22">
    <cfRule type="cellIs" dxfId="5" priority="1" stopIfTrue="1" operator="equal">
      <formula>"Nee"</formula>
    </cfRule>
    <cfRule type="cellIs" dxfId="4" priority="2" stopIfTrue="1" operator="equal">
      <formula>"Ja"</formula>
    </cfRule>
  </conditionalFormatting>
  <conditionalFormatting sqref="H15 H21">
    <cfRule type="cellIs" dxfId="3" priority="3" stopIfTrue="1" operator="equal">
      <formula>"Nee"</formula>
    </cfRule>
    <cfRule type="cellIs" dxfId="2" priority="4" stopIfTrue="1" operator="equal">
      <formula>"Ja"</formula>
    </cfRule>
  </conditionalFormatting>
  <conditionalFormatting sqref="H24">
    <cfRule type="cellIs" dxfId="1" priority="5" stopIfTrue="1" operator="equal">
      <formula>"Fail"</formula>
    </cfRule>
    <cfRule type="cellIs" dxfId="0" priority="6" stopIfTrue="1" operator="equal">
      <formula>"Pass"</formula>
    </cfRule>
  </conditionalFormatting>
  <dataValidations count="2">
    <dataValidation type="list" allowBlank="1" showInputMessage="1" showErrorMessage="1" sqref="H14:H17 H20:H22">
      <formula1>"&lt;&lt; kies &gt;&gt;, Ja, Nee"</formula1>
    </dataValidation>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7"/>
  <sheetViews>
    <sheetView workbookViewId="0">
      <selection activeCell="B11" sqref="B11:C11"/>
    </sheetView>
  </sheetViews>
  <sheetFormatPr defaultColWidth="10.85546875" defaultRowHeight="12.75"/>
  <cols>
    <col min="1" max="1" width="17.42578125" style="53" customWidth="1"/>
    <col min="2" max="2" width="10.85546875" style="53"/>
    <col min="3" max="3" width="17.7109375" style="53" customWidth="1"/>
    <col min="4" max="4" width="11" style="53" bestFit="1" customWidth="1"/>
    <col min="5" max="16384" width="10.85546875" style="53"/>
  </cols>
  <sheetData>
    <row r="1" spans="1:256" s="3" customFormat="1" ht="29.1" customHeight="1">
      <c r="A1" s="1" t="s">
        <v>41</v>
      </c>
      <c r="B1" s="2"/>
      <c r="C1" s="2"/>
      <c r="D1" s="2"/>
      <c r="E1" s="2"/>
      <c r="F1" s="2"/>
      <c r="G1" s="2"/>
      <c r="H1" s="2"/>
      <c r="I1" s="2"/>
      <c r="J1" s="2"/>
      <c r="K1" s="2"/>
      <c r="L1" s="2"/>
      <c r="M1" s="2"/>
      <c r="N1" s="2"/>
      <c r="O1" s="2"/>
      <c r="P1" s="2"/>
    </row>
    <row r="3" spans="1:256" s="3" customFormat="1" ht="18" customHeight="1">
      <c r="A3" s="18" t="s">
        <v>42</v>
      </c>
      <c r="B3" s="19"/>
      <c r="C3" s="19"/>
      <c r="D3" s="19"/>
      <c r="E3" s="19"/>
      <c r="F3" s="19"/>
      <c r="G3" s="19"/>
      <c r="H3" s="20"/>
      <c r="I3" s="20"/>
      <c r="J3" s="20"/>
      <c r="K3" s="20"/>
      <c r="L3" s="20"/>
      <c r="M3" s="20"/>
      <c r="N3" s="20"/>
      <c r="O3" s="20"/>
      <c r="P3" s="21"/>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row>
    <row r="5" spans="1:256" s="55" customFormat="1" ht="18" customHeight="1">
      <c r="A5" s="55" t="s">
        <v>43</v>
      </c>
      <c r="B5" s="175"/>
      <c r="C5" s="174"/>
    </row>
    <row r="6" spans="1:256" s="55" customFormat="1" ht="18" customHeight="1">
      <c r="A6" s="55" t="s">
        <v>44</v>
      </c>
      <c r="B6" s="176"/>
      <c r="C6" s="174"/>
    </row>
    <row r="8" spans="1:256" s="3" customFormat="1" ht="18" customHeight="1">
      <c r="A8" s="18" t="s">
        <v>45</v>
      </c>
      <c r="B8" s="19"/>
      <c r="C8" s="19"/>
      <c r="D8" s="19"/>
      <c r="E8" s="19"/>
      <c r="F8" s="19"/>
      <c r="G8" s="19"/>
      <c r="H8" s="20"/>
      <c r="I8" s="20"/>
      <c r="J8" s="20"/>
      <c r="K8" s="20"/>
      <c r="L8" s="20"/>
      <c r="M8" s="20"/>
      <c r="N8" s="20"/>
      <c r="O8" s="20"/>
      <c r="P8" s="21"/>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row>
    <row r="10" spans="1:256" s="55" customFormat="1" ht="18" customHeight="1">
      <c r="A10" s="55" t="s">
        <v>46</v>
      </c>
      <c r="B10" s="174"/>
      <c r="C10" s="174"/>
    </row>
    <row r="11" spans="1:256" s="55" customFormat="1" ht="18" customHeight="1">
      <c r="A11" s="55" t="s">
        <v>47</v>
      </c>
      <c r="B11" s="177"/>
      <c r="C11" s="177"/>
    </row>
    <row r="12" spans="1:256" s="55" customFormat="1" ht="18" customHeight="1">
      <c r="A12" s="55" t="s">
        <v>49</v>
      </c>
      <c r="B12" s="174"/>
      <c r="C12" s="174"/>
    </row>
    <row r="13" spans="1:256" s="55" customFormat="1" ht="18" customHeight="1">
      <c r="A13" s="55" t="s">
        <v>48</v>
      </c>
      <c r="B13" s="174"/>
      <c r="C13" s="174"/>
    </row>
    <row r="14" spans="1:256" s="55" customFormat="1" ht="18" customHeight="1">
      <c r="A14" s="55" t="s">
        <v>149</v>
      </c>
      <c r="B14" s="157"/>
      <c r="C14" s="157"/>
    </row>
    <row r="15" spans="1:256" s="55" customFormat="1" ht="18" customHeight="1">
      <c r="A15" s="55" t="s">
        <v>150</v>
      </c>
      <c r="B15" s="164"/>
      <c r="C15" s="164"/>
    </row>
    <row r="17" spans="1:256" s="3" customFormat="1" ht="18" customHeight="1">
      <c r="A17" s="18" t="s">
        <v>78</v>
      </c>
      <c r="B17" s="19"/>
      <c r="C17" s="19"/>
      <c r="D17" s="19"/>
      <c r="E17" s="19"/>
      <c r="F17" s="19"/>
      <c r="G17" s="19"/>
      <c r="H17" s="20"/>
      <c r="I17" s="20"/>
      <c r="J17" s="20"/>
      <c r="K17" s="20"/>
      <c r="L17" s="20"/>
      <c r="M17" s="20"/>
      <c r="N17" s="20"/>
      <c r="O17" s="20"/>
      <c r="P17" s="21"/>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row>
    <row r="19" spans="1:256" ht="15">
      <c r="A19" s="57" t="s">
        <v>50</v>
      </c>
      <c r="B19" s="57"/>
      <c r="C19" s="58"/>
      <c r="D19" s="57" t="s">
        <v>21</v>
      </c>
    </row>
    <row r="20" spans="1:256" ht="18" customHeight="1">
      <c r="A20" s="58" t="s">
        <v>139</v>
      </c>
      <c r="B20" s="58"/>
      <c r="C20" s="58"/>
      <c r="D20" s="82" t="str">
        <f>'§5.2 Globale evaluatie'!I5</f>
        <v>?</v>
      </c>
    </row>
    <row r="21" spans="1:256" ht="18" customHeight="1">
      <c r="A21" s="58" t="s">
        <v>146</v>
      </c>
      <c r="B21" s="58"/>
      <c r="C21" s="58"/>
      <c r="D21" s="82" t="str">
        <f>'§5.3 Lmax en Lmin'!J5</f>
        <v>?</v>
      </c>
    </row>
    <row r="22" spans="1:256" ht="18" customHeight="1">
      <c r="A22" s="58" t="s">
        <v>147</v>
      </c>
      <c r="B22" s="58"/>
      <c r="C22" s="58"/>
      <c r="D22" s="56" t="str">
        <f>'§5.4 Luminance response (GSDF)'!K5</f>
        <v>Pass</v>
      </c>
    </row>
    <row r="23" spans="1:256" ht="18" customHeight="1">
      <c r="A23" s="58" t="s">
        <v>148</v>
      </c>
      <c r="B23" s="58"/>
      <c r="C23" s="58"/>
      <c r="D23" s="82" t="str">
        <f>'§5.5 Niet-uniformiteit'!J5</f>
        <v>?</v>
      </c>
    </row>
    <row r="24" spans="1:256" ht="18" customHeight="1">
      <c r="A24" s="58" t="s">
        <v>140</v>
      </c>
      <c r="B24" s="58"/>
      <c r="C24" s="58"/>
      <c r="D24" s="82" t="str">
        <f>'§5.6 Kleuruniformiteit'!I5</f>
        <v>?</v>
      </c>
    </row>
    <row r="25" spans="1:256" ht="18" customHeight="1">
      <c r="A25" s="58" t="s">
        <v>141</v>
      </c>
      <c r="B25" s="58"/>
      <c r="C25" s="58"/>
      <c r="D25" s="82" t="str">
        <f>'§5.7 Pixel fout evaluatie'!J5</f>
        <v>?</v>
      </c>
    </row>
    <row r="26" spans="1:256" ht="18" customHeight="1">
      <c r="A26" s="58" t="s">
        <v>142</v>
      </c>
      <c r="B26" s="58"/>
      <c r="C26" s="58"/>
      <c r="D26" s="82" t="str">
        <f>'§5.7 Pixel fout evaluatie'!J6</f>
        <v>?</v>
      </c>
    </row>
    <row r="27" spans="1:256" ht="18" customHeight="1">
      <c r="A27" s="58" t="s">
        <v>143</v>
      </c>
      <c r="B27" s="58"/>
      <c r="C27" s="58"/>
      <c r="D27" s="82" t="str">
        <f>'§5.8 Display resolution'!I5</f>
        <v>?</v>
      </c>
    </row>
    <row r="28" spans="1:256" ht="18" customHeight="1">
      <c r="A28" s="58"/>
      <c r="B28" s="58"/>
      <c r="C28" s="58"/>
      <c r="D28" s="58"/>
    </row>
    <row r="29" spans="1:256" ht="18" customHeight="1">
      <c r="A29" s="57" t="s">
        <v>144</v>
      </c>
      <c r="B29" s="58"/>
      <c r="C29" s="58"/>
      <c r="D29" s="58"/>
    </row>
    <row r="30" spans="1:256" ht="18" customHeight="1">
      <c r="A30" s="58"/>
      <c r="B30" s="58"/>
      <c r="C30" s="58"/>
      <c r="D30" s="58"/>
    </row>
    <row r="31" spans="1:256" ht="14.25">
      <c r="A31" s="58"/>
      <c r="B31" s="58"/>
      <c r="C31" s="58"/>
      <c r="D31" s="58"/>
    </row>
    <row r="32" spans="1:256" ht="14.25">
      <c r="A32" s="58"/>
      <c r="B32" s="58"/>
      <c r="C32" s="58"/>
      <c r="D32" s="58"/>
    </row>
    <row r="33" spans="1:4" ht="14.25">
      <c r="A33" s="58"/>
      <c r="B33" s="58"/>
      <c r="C33" s="58"/>
      <c r="D33" s="58"/>
    </row>
    <row r="34" spans="1:4" ht="14.25">
      <c r="A34" s="58"/>
      <c r="B34" s="58"/>
      <c r="C34" s="58"/>
      <c r="D34" s="58"/>
    </row>
    <row r="35" spans="1:4" ht="14.25">
      <c r="A35" s="58"/>
      <c r="B35" s="58"/>
      <c r="C35" s="58"/>
      <c r="D35" s="58"/>
    </row>
    <row r="36" spans="1:4" ht="14.25">
      <c r="A36" s="58"/>
      <c r="B36" s="58"/>
      <c r="C36" s="58"/>
      <c r="D36" s="58"/>
    </row>
    <row r="37" spans="1:4" ht="14.25">
      <c r="A37" s="58"/>
      <c r="B37" s="58"/>
      <c r="C37" s="58"/>
      <c r="D37" s="58"/>
    </row>
  </sheetData>
  <mergeCells count="6">
    <mergeCell ref="B13:C13"/>
    <mergeCell ref="B5:C5"/>
    <mergeCell ref="B6:C6"/>
    <mergeCell ref="B10:C10"/>
    <mergeCell ref="B11:C11"/>
    <mergeCell ref="B12:C12"/>
  </mergeCells>
  <conditionalFormatting sqref="D20:D23">
    <cfRule type="containsText" dxfId="83" priority="11" operator="containsText" text="Pass">
      <formula>NOT(ISERROR(SEARCH("Pass",D20)))</formula>
    </cfRule>
    <cfRule type="containsText" dxfId="82" priority="12" operator="containsText" text="Fail">
      <formula>NOT(ISERROR(SEARCH("Fail",D20)))</formula>
    </cfRule>
  </conditionalFormatting>
  <conditionalFormatting sqref="D27">
    <cfRule type="containsText" dxfId="81" priority="9" operator="containsText" text="Pass">
      <formula>NOT(ISERROR(SEARCH("Pass",D27)))</formula>
    </cfRule>
    <cfRule type="containsText" dxfId="80" priority="10" operator="containsText" text="Fail">
      <formula>NOT(ISERROR(SEARCH("Fail",D27)))</formula>
    </cfRule>
  </conditionalFormatting>
  <conditionalFormatting sqref="D25:D26">
    <cfRule type="containsText" dxfId="79" priority="7" operator="containsText" text="Pass">
      <formula>NOT(ISERROR(SEARCH("Pass",D25)))</formula>
    </cfRule>
    <cfRule type="containsText" dxfId="78" priority="8" operator="containsText" text="Fail">
      <formula>NOT(ISERROR(SEARCH("Fail",D25)))</formula>
    </cfRule>
  </conditionalFormatting>
  <conditionalFormatting sqref="D24">
    <cfRule type="containsText" dxfId="77" priority="5" operator="containsText" text="Pass">
      <formula>NOT(ISERROR(SEARCH("Pass",D24)))</formula>
    </cfRule>
    <cfRule type="containsText" dxfId="76" priority="6" operator="containsText" text="Fail">
      <formula>NOT(ISERROR(SEARCH("Fail",D24)))</formula>
    </cfRule>
  </conditionalFormatting>
  <dataValidations count="1">
    <dataValidation type="list" allowBlank="1" showInputMessage="1" showErrorMessage="1" sqref="B11:C11">
      <formula1>"Mammografie, Diagnostisch, Review,"</formula1>
    </dataValidation>
  </dataValidation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35"/>
  <sheetViews>
    <sheetView workbookViewId="0">
      <selection activeCell="A7" sqref="A7"/>
    </sheetView>
  </sheetViews>
  <sheetFormatPr defaultColWidth="10.85546875" defaultRowHeight="12.75"/>
  <cols>
    <col min="1" max="1" width="10.85546875" style="53"/>
    <col min="2" max="2" width="14.42578125" style="53" customWidth="1"/>
    <col min="3" max="3" width="18" style="53" customWidth="1"/>
    <col min="4" max="6" width="10.85546875" style="53"/>
    <col min="7" max="7" width="12.42578125" style="53" bestFit="1" customWidth="1"/>
    <col min="8" max="8" width="16.85546875" style="53" customWidth="1"/>
    <col min="9" max="16384" width="10.85546875" style="53"/>
  </cols>
  <sheetData>
    <row r="1" spans="1:251" s="3" customFormat="1" ht="29.1" customHeight="1">
      <c r="A1" s="1" t="s">
        <v>122</v>
      </c>
      <c r="B1" s="2"/>
      <c r="C1" s="2"/>
      <c r="D1" s="2"/>
      <c r="E1" s="2"/>
      <c r="F1" s="2"/>
      <c r="G1" s="2"/>
      <c r="H1" s="2"/>
      <c r="I1" s="2"/>
      <c r="J1" s="2"/>
      <c r="K1" s="2"/>
    </row>
    <row r="2" spans="1:251" s="3" customFormat="1">
      <c r="A2" s="4"/>
    </row>
    <row r="3" spans="1:251" s="3" customFormat="1">
      <c r="A3" s="81" t="s">
        <v>135</v>
      </c>
    </row>
    <row r="4" spans="1:251" s="3" customFormat="1">
      <c r="A4" s="81" t="s">
        <v>138</v>
      </c>
    </row>
    <row r="5" spans="1:251" s="3" customFormat="1">
      <c r="A5" s="4"/>
    </row>
    <row r="6" spans="1:251" s="3" customFormat="1" ht="18" customHeight="1">
      <c r="A6" s="18" t="s">
        <v>129</v>
      </c>
      <c r="B6" s="19"/>
      <c r="C6" s="19"/>
      <c r="D6" s="19"/>
      <c r="E6" s="19"/>
      <c r="F6" s="19"/>
      <c r="G6" s="19"/>
      <c r="H6" s="20"/>
      <c r="I6" s="20"/>
      <c r="J6" s="20"/>
      <c r="K6" s="2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row>
    <row r="9" spans="1:251" ht="14.25">
      <c r="B9" s="154" t="s">
        <v>45</v>
      </c>
    </row>
    <row r="10" spans="1:251">
      <c r="B10" s="141" t="s">
        <v>124</v>
      </c>
    </row>
    <row r="11" spans="1:251">
      <c r="B11" s="142" t="s">
        <v>125</v>
      </c>
    </row>
    <row r="12" spans="1:251">
      <c r="A12" s="53" t="s">
        <v>131</v>
      </c>
      <c r="B12" s="146"/>
    </row>
    <row r="13" spans="1:251">
      <c r="A13" s="53" t="s">
        <v>132</v>
      </c>
      <c r="B13" s="146"/>
    </row>
    <row r="14" spans="1:251">
      <c r="A14" s="53" t="s">
        <v>133</v>
      </c>
      <c r="B14" s="146"/>
    </row>
    <row r="15" spans="1:251" ht="13.5" thickBot="1">
      <c r="B15" s="147"/>
    </row>
    <row r="16" spans="1:251" ht="13.5" thickBot="1">
      <c r="A16" s="53" t="s">
        <v>134</v>
      </c>
      <c r="B16" s="150" t="str">
        <f>IF(ISBLANK(B12),"",AVERAGE(B12:B14))</f>
        <v/>
      </c>
    </row>
    <row r="19" spans="1:251" s="3" customFormat="1" ht="18" customHeight="1">
      <c r="A19" s="18" t="s">
        <v>130</v>
      </c>
      <c r="B19" s="19"/>
      <c r="C19" s="19"/>
      <c r="D19" s="19"/>
      <c r="E19" s="19"/>
      <c r="F19" s="19"/>
      <c r="G19" s="19"/>
      <c r="H19" s="20"/>
      <c r="I19" s="20"/>
      <c r="J19" s="20"/>
      <c r="K19" s="2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row>
    <row r="21" spans="1:251" ht="14.25">
      <c r="B21" s="179" t="s">
        <v>45</v>
      </c>
      <c r="C21" s="179"/>
      <c r="D21" s="179"/>
    </row>
    <row r="22" spans="1:251">
      <c r="B22" s="141" t="s">
        <v>123</v>
      </c>
      <c r="C22" s="145" t="s">
        <v>127</v>
      </c>
      <c r="D22" s="145" t="s">
        <v>124</v>
      </c>
    </row>
    <row r="23" spans="1:251">
      <c r="B23" s="142"/>
      <c r="C23" s="143" t="s">
        <v>128</v>
      </c>
      <c r="D23" s="143" t="s">
        <v>125</v>
      </c>
    </row>
    <row r="24" spans="1:251">
      <c r="A24" s="144" t="s">
        <v>126</v>
      </c>
      <c r="B24" s="153">
        <v>0.01</v>
      </c>
      <c r="C24" s="153">
        <v>10</v>
      </c>
      <c r="D24" s="153">
        <f t="shared" ref="D24" si="0">C24*B24</f>
        <v>0.1</v>
      </c>
    </row>
    <row r="25" spans="1:251">
      <c r="C25" s="147"/>
      <c r="D25" s="147"/>
    </row>
    <row r="26" spans="1:251">
      <c r="A26" s="53" t="s">
        <v>131</v>
      </c>
      <c r="B26" s="146"/>
      <c r="C26" s="146"/>
      <c r="D26" s="146" t="str">
        <f>IF(ISBLANK(B26),"",C26*B26)</f>
        <v/>
      </c>
    </row>
    <row r="27" spans="1:251">
      <c r="A27" s="53" t="s">
        <v>132</v>
      </c>
      <c r="B27" s="146"/>
      <c r="C27" s="146"/>
      <c r="D27" s="146" t="str">
        <f>IF(ISBLANK(B27),"",C27*B27)</f>
        <v/>
      </c>
    </row>
    <row r="28" spans="1:251">
      <c r="A28" s="53" t="s">
        <v>133</v>
      </c>
      <c r="B28" s="146"/>
      <c r="C28" s="146"/>
      <c r="D28" s="146" t="str">
        <f>IF(ISBLANK(B28),"",C28*B28)</f>
        <v/>
      </c>
    </row>
    <row r="29" spans="1:251" ht="13.5" thickBot="1">
      <c r="B29" s="151"/>
      <c r="C29" s="151"/>
      <c r="D29" s="151"/>
    </row>
    <row r="30" spans="1:251" ht="13.5" thickBot="1">
      <c r="B30" s="151"/>
      <c r="C30" s="151" t="s">
        <v>134</v>
      </c>
      <c r="D30" s="152" t="str">
        <f>IF(ISBLANK(B26),"",AVERAGE(D26:D28))</f>
        <v/>
      </c>
      <c r="E30" s="144"/>
    </row>
    <row r="33" spans="1:11" s="148" customFormat="1" ht="18" customHeight="1">
      <c r="A33" s="149" t="s">
        <v>136</v>
      </c>
      <c r="B33" s="149"/>
      <c r="C33" s="149"/>
      <c r="D33" s="149"/>
      <c r="E33" s="149"/>
      <c r="F33" s="149"/>
      <c r="G33" s="149"/>
      <c r="H33" s="149"/>
      <c r="I33" s="149"/>
      <c r="J33" s="149"/>
      <c r="K33" s="149"/>
    </row>
    <row r="35" spans="1:11">
      <c r="A35" s="178" t="s">
        <v>137</v>
      </c>
      <c r="B35" s="178"/>
      <c r="C35" s="178"/>
      <c r="D35" s="178"/>
      <c r="E35" s="178"/>
      <c r="F35" s="178"/>
      <c r="G35" s="178"/>
    </row>
  </sheetData>
  <mergeCells count="2">
    <mergeCell ref="A35:G35"/>
    <mergeCell ref="B21:D21"/>
  </mergeCells>
  <conditionalFormatting sqref="B26">
    <cfRule type="expression" dxfId="75" priority="8">
      <formula>EXACT(B26,"")</formula>
    </cfRule>
  </conditionalFormatting>
  <conditionalFormatting sqref="C26:C28">
    <cfRule type="expression" dxfId="74" priority="7">
      <formula>EXACT(C26,"")</formula>
    </cfRule>
  </conditionalFormatting>
  <conditionalFormatting sqref="B27:B28">
    <cfRule type="expression" dxfId="73" priority="6">
      <formula>EXACT(B27,"")</formula>
    </cfRule>
  </conditionalFormatting>
  <conditionalFormatting sqref="B12:B14">
    <cfRule type="expression" dxfId="72" priority="5">
      <formula>EXACT(B12,"")</formula>
    </cfRule>
  </conditionalFormatting>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36"/>
  <sheetViews>
    <sheetView workbookViewId="0">
      <selection activeCell="C4" sqref="C4:D4"/>
    </sheetView>
  </sheetViews>
  <sheetFormatPr defaultColWidth="10.85546875" defaultRowHeight="12.75"/>
  <cols>
    <col min="1" max="16384" width="10.85546875" style="53"/>
  </cols>
  <sheetData>
    <row r="1" spans="1:251" s="3" customFormat="1" ht="29.1" customHeight="1">
      <c r="A1" s="1" t="s">
        <v>114</v>
      </c>
      <c r="B1" s="2"/>
      <c r="C1" s="2"/>
      <c r="D1" s="2"/>
      <c r="E1" s="2"/>
      <c r="F1" s="2"/>
      <c r="G1" s="2"/>
      <c r="H1" s="2"/>
      <c r="I1" s="2"/>
      <c r="J1" s="2"/>
      <c r="K1" s="2"/>
    </row>
    <row r="2" spans="1:251" s="3" customFormat="1" ht="13.5" thickBot="1">
      <c r="A2" s="4"/>
    </row>
    <row r="3" spans="1:251" s="3" customFormat="1" ht="15.95" customHeight="1">
      <c r="A3" s="5" t="s">
        <v>18</v>
      </c>
      <c r="B3" s="6"/>
      <c r="C3" s="6"/>
      <c r="D3" s="6"/>
      <c r="I3" s="188" t="s">
        <v>21</v>
      </c>
      <c r="J3" s="189"/>
    </row>
    <row r="4" spans="1:251" s="3" customFormat="1">
      <c r="A4" s="9" t="s">
        <v>19</v>
      </c>
      <c r="B4" s="10"/>
      <c r="C4" s="177"/>
      <c r="D4" s="177"/>
      <c r="E4" s="10"/>
      <c r="F4" s="10"/>
      <c r="I4" s="190"/>
      <c r="J4" s="191"/>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row>
    <row r="5" spans="1:251" s="3" customFormat="1" ht="12.95" customHeight="1">
      <c r="A5" s="9"/>
      <c r="B5" s="10"/>
      <c r="C5" s="10"/>
      <c r="D5" s="10"/>
      <c r="E5" s="10"/>
      <c r="F5" s="10"/>
      <c r="I5" s="192" t="str">
        <f>IF(H18="?","?",IF(H27="?","?",IF(H36="?","?",IF(AND(H18="Pass",H27="Pass",H36="Pass"),"Pass","Fail"))))</f>
        <v>?</v>
      </c>
      <c r="J5" s="193"/>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row>
    <row r="6" spans="1:251" s="3" customFormat="1" ht="15.95" customHeight="1" thickBot="1">
      <c r="A6" s="196" t="s">
        <v>38</v>
      </c>
      <c r="B6" s="196"/>
      <c r="C6" s="3" t="s">
        <v>77</v>
      </c>
      <c r="I6" s="194"/>
      <c r="J6" s="195"/>
    </row>
    <row r="8" spans="1:251" s="3" customFormat="1" ht="18" customHeight="1">
      <c r="A8" s="18" t="s">
        <v>37</v>
      </c>
      <c r="B8" s="19"/>
      <c r="C8" s="19"/>
      <c r="D8" s="19"/>
      <c r="E8" s="19"/>
      <c r="F8" s="19"/>
      <c r="G8" s="19"/>
      <c r="H8" s="20"/>
      <c r="I8" s="20"/>
      <c r="J8" s="20"/>
      <c r="K8" s="2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row>
    <row r="10" spans="1:251" s="90" customFormat="1" ht="12.75" customHeight="1">
      <c r="A10" s="183" t="s">
        <v>90</v>
      </c>
      <c r="B10" s="183"/>
      <c r="C10" s="183"/>
      <c r="D10" s="183"/>
      <c r="E10" s="183"/>
      <c r="F10" s="183"/>
      <c r="G10" s="183"/>
      <c r="H10" s="183"/>
      <c r="I10" s="183"/>
      <c r="J10" s="183"/>
      <c r="K10" s="183"/>
      <c r="L10" s="46"/>
      <c r="M10" s="46"/>
      <c r="N10" s="46"/>
    </row>
    <row r="11" spans="1:251" s="90" customFormat="1" ht="12.75" customHeight="1">
      <c r="A11" s="89" t="s">
        <v>27</v>
      </c>
      <c r="B11" s="89"/>
      <c r="C11" s="89"/>
      <c r="D11" s="46"/>
      <c r="E11" s="46"/>
      <c r="F11" s="46"/>
      <c r="G11" s="46"/>
      <c r="H11" s="47" t="s">
        <v>21</v>
      </c>
      <c r="I11" s="187" t="s">
        <v>121</v>
      </c>
      <c r="J11" s="187"/>
      <c r="K11" s="187"/>
      <c r="L11" s="46"/>
      <c r="M11" s="46"/>
      <c r="N11" s="46"/>
    </row>
    <row r="12" spans="1:251" s="90" customFormat="1" ht="27.75" customHeight="1">
      <c r="A12" s="180" t="s">
        <v>91</v>
      </c>
      <c r="B12" s="180"/>
      <c r="C12" s="180"/>
      <c r="D12" s="180"/>
      <c r="E12" s="180"/>
      <c r="F12" s="180"/>
      <c r="G12" s="180"/>
      <c r="H12" s="117" t="s">
        <v>152</v>
      </c>
      <c r="I12" s="184"/>
      <c r="J12" s="184"/>
      <c r="K12" s="184"/>
      <c r="L12" s="46"/>
      <c r="M12" s="46"/>
      <c r="N12" s="46"/>
    </row>
    <row r="13" spans="1:251" s="90" customFormat="1" ht="30.75" customHeight="1">
      <c r="A13" s="181" t="s">
        <v>92</v>
      </c>
      <c r="B13" s="181"/>
      <c r="C13" s="181"/>
      <c r="D13" s="181"/>
      <c r="E13" s="181"/>
      <c r="F13" s="181"/>
      <c r="G13" s="181"/>
      <c r="H13" s="118" t="s">
        <v>152</v>
      </c>
      <c r="I13" s="185"/>
      <c r="J13" s="185"/>
      <c r="K13" s="185"/>
      <c r="L13" s="46"/>
      <c r="M13" s="46"/>
      <c r="N13" s="46"/>
    </row>
    <row r="14" spans="1:251" s="90" customFormat="1" ht="30.75" customHeight="1">
      <c r="A14" s="180" t="s">
        <v>93</v>
      </c>
      <c r="B14" s="180"/>
      <c r="C14" s="180"/>
      <c r="D14" s="180"/>
      <c r="E14" s="180"/>
      <c r="F14" s="180"/>
      <c r="G14" s="180"/>
      <c r="H14" s="117" t="s">
        <v>152</v>
      </c>
      <c r="I14" s="184"/>
      <c r="J14" s="184"/>
      <c r="K14" s="184"/>
      <c r="L14" s="46"/>
      <c r="M14" s="46"/>
      <c r="N14" s="46"/>
    </row>
    <row r="15" spans="1:251" s="90" customFormat="1" ht="41.1" customHeight="1">
      <c r="A15" s="181" t="s">
        <v>94</v>
      </c>
      <c r="B15" s="181"/>
      <c r="C15" s="181"/>
      <c r="D15" s="181"/>
      <c r="E15" s="181"/>
      <c r="F15" s="181"/>
      <c r="G15" s="181"/>
      <c r="H15" s="118" t="s">
        <v>152</v>
      </c>
      <c r="I15" s="185"/>
      <c r="J15" s="185"/>
      <c r="K15" s="185"/>
      <c r="L15" s="46"/>
      <c r="M15" s="46"/>
      <c r="N15" s="46"/>
    </row>
    <row r="16" spans="1:251" s="90" customFormat="1" ht="17.100000000000001" customHeight="1">
      <c r="A16" s="180" t="s">
        <v>95</v>
      </c>
      <c r="B16" s="180"/>
      <c r="C16" s="180"/>
      <c r="D16" s="180"/>
      <c r="E16" s="180"/>
      <c r="F16" s="180"/>
      <c r="G16" s="180"/>
      <c r="H16" s="117" t="s">
        <v>152</v>
      </c>
      <c r="I16" s="184"/>
      <c r="J16" s="184"/>
      <c r="K16" s="184"/>
      <c r="L16" s="46"/>
      <c r="M16" s="46"/>
      <c r="N16" s="46"/>
    </row>
    <row r="17" spans="1:14" s="90" customFormat="1" ht="14.25">
      <c r="A17" s="89"/>
      <c r="B17" s="89"/>
      <c r="C17" s="89"/>
      <c r="D17" s="89"/>
      <c r="E17" s="89"/>
      <c r="F17" s="89"/>
      <c r="G17" s="89"/>
      <c r="H17" s="89"/>
      <c r="I17" s="89"/>
      <c r="J17" s="89"/>
      <c r="K17" s="89"/>
      <c r="L17" s="46"/>
      <c r="M17" s="46"/>
      <c r="N17" s="46"/>
    </row>
    <row r="18" spans="1:14" s="90" customFormat="1" ht="15.75">
      <c r="A18" s="89"/>
      <c r="B18" s="89"/>
      <c r="C18" s="89"/>
      <c r="D18" s="89"/>
      <c r="E18" s="89"/>
      <c r="F18" s="182" t="s">
        <v>36</v>
      </c>
      <c r="G18" s="182"/>
      <c r="H18" s="85" t="str">
        <f>IF(H12="&lt;&lt; kies &gt;&gt;","?",IF(H13="&lt;&lt; kies &gt;&gt;","?",IF(H14="&lt;&lt; kies &gt;&gt;","?",IF(H15="&lt;&lt; kies &gt;&gt;","?",IF(H16="&lt;&lt; kies &gt;&gt;","?",IF(AND(H12="Ja",H13="Ja",H14="Ja",H15="Ja",H16="Ja"),"Pass","Fail"))))))</f>
        <v>?</v>
      </c>
      <c r="I18" s="89"/>
      <c r="J18" s="89"/>
      <c r="K18" s="89"/>
      <c r="L18" s="46"/>
      <c r="M18" s="46"/>
      <c r="N18" s="46"/>
    </row>
    <row r="19" spans="1:14" s="90" customFormat="1" ht="14.25">
      <c r="A19" s="89"/>
      <c r="B19" s="89"/>
      <c r="C19" s="89"/>
      <c r="D19" s="89"/>
      <c r="E19" s="89"/>
      <c r="F19" s="89"/>
      <c r="G19" s="89"/>
      <c r="H19" s="89"/>
      <c r="I19" s="89"/>
      <c r="J19" s="89"/>
      <c r="K19" s="89"/>
      <c r="L19" s="46"/>
      <c r="M19" s="46"/>
      <c r="N19" s="46"/>
    </row>
    <row r="20" spans="1:14" s="90" customFormat="1" ht="12.75" customHeight="1">
      <c r="A20" s="183" t="s">
        <v>96</v>
      </c>
      <c r="B20" s="183"/>
      <c r="C20" s="183"/>
      <c r="D20" s="183"/>
      <c r="E20" s="183"/>
      <c r="F20" s="183"/>
      <c r="G20" s="183"/>
      <c r="H20" s="183"/>
      <c r="I20" s="183"/>
      <c r="J20" s="183"/>
      <c r="K20" s="183"/>
      <c r="L20" s="46"/>
      <c r="M20" s="46"/>
      <c r="N20" s="46"/>
    </row>
    <row r="21" spans="1:14" s="90" customFormat="1" ht="12.75" customHeight="1">
      <c r="A21" s="89" t="s">
        <v>27</v>
      </c>
      <c r="B21" s="89"/>
      <c r="C21" s="89"/>
      <c r="D21" s="46"/>
      <c r="E21" s="46"/>
      <c r="F21" s="46"/>
      <c r="G21" s="46"/>
      <c r="H21" s="47" t="s">
        <v>21</v>
      </c>
      <c r="I21" s="187" t="s">
        <v>121</v>
      </c>
      <c r="J21" s="187"/>
      <c r="K21" s="187"/>
      <c r="L21" s="89"/>
      <c r="M21" s="89"/>
      <c r="N21" s="89"/>
    </row>
    <row r="22" spans="1:14" s="90" customFormat="1" ht="27.75" customHeight="1">
      <c r="A22" s="180" t="s">
        <v>97</v>
      </c>
      <c r="B22" s="180"/>
      <c r="C22" s="180"/>
      <c r="D22" s="180"/>
      <c r="E22" s="180"/>
      <c r="F22" s="180"/>
      <c r="G22" s="180"/>
      <c r="H22" s="117" t="s">
        <v>152</v>
      </c>
      <c r="I22" s="184"/>
      <c r="J22" s="184"/>
      <c r="K22" s="184"/>
      <c r="L22" s="89"/>
      <c r="M22" s="89"/>
      <c r="N22" s="89"/>
    </row>
    <row r="23" spans="1:14" s="90" customFormat="1" ht="48.75" customHeight="1">
      <c r="A23" s="181" t="s">
        <v>98</v>
      </c>
      <c r="B23" s="181"/>
      <c r="C23" s="181"/>
      <c r="D23" s="181"/>
      <c r="E23" s="181"/>
      <c r="F23" s="181"/>
      <c r="G23" s="181"/>
      <c r="H23" s="118" t="s">
        <v>152</v>
      </c>
      <c r="I23" s="185"/>
      <c r="J23" s="185"/>
      <c r="K23" s="185"/>
      <c r="L23" s="89"/>
      <c r="M23" s="89"/>
      <c r="N23" s="89"/>
    </row>
    <row r="24" spans="1:14" s="90" customFormat="1" ht="30.75" customHeight="1">
      <c r="A24" s="180" t="s">
        <v>99</v>
      </c>
      <c r="B24" s="180"/>
      <c r="C24" s="180"/>
      <c r="D24" s="180"/>
      <c r="E24" s="180"/>
      <c r="F24" s="180"/>
      <c r="G24" s="180"/>
      <c r="H24" s="117" t="s">
        <v>152</v>
      </c>
      <c r="I24" s="184"/>
      <c r="J24" s="184"/>
      <c r="K24" s="184"/>
      <c r="L24" s="89"/>
      <c r="M24" s="89"/>
      <c r="N24" s="89"/>
    </row>
    <row r="25" spans="1:14" s="90" customFormat="1" ht="78.75" customHeight="1">
      <c r="A25" s="181" t="s">
        <v>157</v>
      </c>
      <c r="B25" s="181"/>
      <c r="C25" s="181"/>
      <c r="D25" s="181"/>
      <c r="E25" s="181"/>
      <c r="F25" s="181"/>
      <c r="G25" s="181"/>
      <c r="H25" s="118" t="s">
        <v>152</v>
      </c>
      <c r="I25" s="185"/>
      <c r="J25" s="185"/>
      <c r="K25" s="185"/>
      <c r="L25" s="89"/>
      <c r="M25" s="89"/>
      <c r="N25" s="89"/>
    </row>
    <row r="26" spans="1:14" s="90" customFormat="1" ht="14.25">
      <c r="A26" s="89"/>
      <c r="B26" s="89"/>
      <c r="C26" s="89"/>
      <c r="D26" s="89"/>
      <c r="E26" s="89"/>
      <c r="F26" s="89"/>
      <c r="G26" s="89"/>
      <c r="H26" s="89"/>
      <c r="I26" s="89"/>
      <c r="J26" s="89"/>
      <c r="K26" s="89"/>
      <c r="L26" s="46"/>
      <c r="M26" s="46"/>
      <c r="N26" s="46"/>
    </row>
    <row r="27" spans="1:14" s="90" customFormat="1" ht="15.75">
      <c r="A27" s="89"/>
      <c r="B27" s="89"/>
      <c r="C27" s="89"/>
      <c r="D27" s="89"/>
      <c r="E27" s="89"/>
      <c r="F27" s="182" t="s">
        <v>36</v>
      </c>
      <c r="G27" s="182"/>
      <c r="H27" s="85" t="str">
        <f>IF(H22="&lt;&lt; kies &gt;&gt;","?",IF(H23="&lt;&lt; kies &gt;&gt;","?",IF(H24="&lt;&lt; kies &gt;&gt;","?",IF(H25="&lt;&lt; kies &gt;&gt;","?",IF(AND(H22="Ja",H23="Ja",H24="Ja",H25="Ja"),"Pass","Fail")))))</f>
        <v>?</v>
      </c>
      <c r="I27" s="89"/>
      <c r="J27" s="89"/>
      <c r="K27" s="89"/>
      <c r="L27" s="46"/>
      <c r="M27" s="46"/>
      <c r="N27" s="46"/>
    </row>
    <row r="28" spans="1:14" s="90" customFormat="1" ht="14.25">
      <c r="A28" s="89"/>
      <c r="B28" s="89"/>
      <c r="C28" s="89"/>
      <c r="D28" s="89"/>
      <c r="E28" s="89"/>
      <c r="F28" s="89"/>
      <c r="G28" s="89"/>
      <c r="H28" s="89"/>
      <c r="I28" s="89"/>
      <c r="J28" s="89"/>
      <c r="K28" s="89"/>
      <c r="L28" s="46"/>
      <c r="M28" s="46"/>
      <c r="N28" s="46"/>
    </row>
    <row r="29" spans="1:14" s="90" customFormat="1" ht="12.75" customHeight="1">
      <c r="A29" s="183" t="s">
        <v>100</v>
      </c>
      <c r="B29" s="183"/>
      <c r="C29" s="183"/>
      <c r="D29" s="183"/>
      <c r="E29" s="183"/>
      <c r="F29" s="183"/>
      <c r="G29" s="183"/>
      <c r="H29" s="183"/>
      <c r="I29" s="183"/>
      <c r="J29" s="183"/>
      <c r="K29" s="183"/>
      <c r="L29" s="46"/>
      <c r="M29" s="46"/>
      <c r="N29" s="46"/>
    </row>
    <row r="30" spans="1:14" s="90" customFormat="1" ht="12.75" customHeight="1">
      <c r="A30" s="89" t="s">
        <v>27</v>
      </c>
      <c r="B30" s="89"/>
      <c r="C30" s="89"/>
      <c r="D30" s="46"/>
      <c r="E30" s="46"/>
      <c r="F30" s="46"/>
      <c r="G30" s="46"/>
      <c r="H30" s="47" t="s">
        <v>21</v>
      </c>
      <c r="I30" s="187" t="s">
        <v>121</v>
      </c>
      <c r="J30" s="187"/>
      <c r="K30" s="187"/>
      <c r="L30" s="89"/>
      <c r="M30" s="89"/>
      <c r="N30" s="89"/>
    </row>
    <row r="31" spans="1:14" s="107" customFormat="1" ht="33" customHeight="1">
      <c r="A31" s="180" t="s">
        <v>101</v>
      </c>
      <c r="B31" s="180"/>
      <c r="C31" s="180"/>
      <c r="D31" s="180"/>
      <c r="E31" s="180"/>
      <c r="F31" s="180"/>
      <c r="G31" s="180"/>
      <c r="H31" s="117" t="s">
        <v>152</v>
      </c>
      <c r="I31" s="184"/>
      <c r="J31" s="184"/>
      <c r="K31" s="184"/>
      <c r="L31" s="89"/>
      <c r="M31" s="89"/>
      <c r="N31" s="89"/>
    </row>
    <row r="32" spans="1:14" s="107" customFormat="1" ht="33" customHeight="1">
      <c r="A32" s="181" t="s">
        <v>102</v>
      </c>
      <c r="B32" s="181"/>
      <c r="C32" s="181"/>
      <c r="D32" s="181"/>
      <c r="E32" s="181"/>
      <c r="F32" s="181"/>
      <c r="G32" s="181"/>
      <c r="H32" s="118" t="s">
        <v>152</v>
      </c>
      <c r="I32" s="185"/>
      <c r="J32" s="185"/>
      <c r="K32" s="185"/>
      <c r="L32" s="89"/>
      <c r="M32" s="89"/>
      <c r="N32" s="89"/>
    </row>
    <row r="33" spans="1:14" s="107" customFormat="1" ht="54" customHeight="1">
      <c r="A33" s="180" t="s">
        <v>103</v>
      </c>
      <c r="B33" s="180"/>
      <c r="C33" s="180"/>
      <c r="D33" s="180"/>
      <c r="E33" s="180"/>
      <c r="F33" s="180"/>
      <c r="G33" s="180"/>
      <c r="H33" s="117" t="s">
        <v>152</v>
      </c>
      <c r="I33" s="184"/>
      <c r="J33" s="184"/>
      <c r="K33" s="184"/>
      <c r="L33" s="89"/>
      <c r="M33" s="89"/>
      <c r="N33" s="89"/>
    </row>
    <row r="34" spans="1:14" s="107" customFormat="1" ht="33" customHeight="1">
      <c r="A34" s="181" t="s">
        <v>104</v>
      </c>
      <c r="B34" s="181"/>
      <c r="C34" s="181"/>
      <c r="D34" s="181"/>
      <c r="E34" s="181"/>
      <c r="F34" s="181"/>
      <c r="G34" s="181"/>
      <c r="H34" s="118" t="s">
        <v>152</v>
      </c>
      <c r="I34" s="186"/>
      <c r="J34" s="186"/>
      <c r="K34" s="186"/>
      <c r="L34" s="140"/>
      <c r="M34" s="140"/>
      <c r="N34" s="140"/>
    </row>
    <row r="35" spans="1:14" s="90" customFormat="1" ht="14.25">
      <c r="A35" s="89"/>
      <c r="B35" s="89"/>
      <c r="C35" s="89"/>
      <c r="D35" s="89"/>
      <c r="E35" s="89"/>
      <c r="F35" s="89"/>
      <c r="G35" s="89"/>
      <c r="H35" s="89"/>
      <c r="I35" s="89"/>
      <c r="J35" s="89"/>
      <c r="K35" s="89"/>
      <c r="L35" s="46"/>
      <c r="M35" s="46"/>
      <c r="N35" s="46"/>
    </row>
    <row r="36" spans="1:14" s="90" customFormat="1" ht="15.75">
      <c r="A36" s="89"/>
      <c r="B36" s="89"/>
      <c r="C36" s="89"/>
      <c r="D36" s="89"/>
      <c r="E36" s="89"/>
      <c r="F36" s="182" t="s">
        <v>36</v>
      </c>
      <c r="G36" s="182"/>
      <c r="H36" s="85" t="str">
        <f>IF(H31="&lt;&lt; kies &gt;&gt;","?",IF(H32="&lt;&lt; kies &gt;&gt;","?",IF(H33="&lt;&lt; kies &gt;&gt;","?",IF(H34="&lt;&lt; kies &gt;&gt;","?",IF(AND(H31="Ja",H32="Ja",H33="Ja",H34="Ja"),"Pass","Fail")))))</f>
        <v>?</v>
      </c>
      <c r="I36" s="89"/>
      <c r="J36" s="89"/>
      <c r="K36" s="89"/>
      <c r="L36" s="46"/>
      <c r="M36" s="46"/>
      <c r="N36" s="46"/>
    </row>
  </sheetData>
  <mergeCells count="39">
    <mergeCell ref="A13:G13"/>
    <mergeCell ref="A14:G14"/>
    <mergeCell ref="A15:G15"/>
    <mergeCell ref="I3:J4"/>
    <mergeCell ref="C4:D4"/>
    <mergeCell ref="I5:J6"/>
    <mergeCell ref="A6:B6"/>
    <mergeCell ref="A10:K10"/>
    <mergeCell ref="A12:G12"/>
    <mergeCell ref="I11:K11"/>
    <mergeCell ref="I12:K12"/>
    <mergeCell ref="I14:K14"/>
    <mergeCell ref="I13:K13"/>
    <mergeCell ref="I15:K15"/>
    <mergeCell ref="A23:G23"/>
    <mergeCell ref="A24:G24"/>
    <mergeCell ref="A25:G25"/>
    <mergeCell ref="A16:G16"/>
    <mergeCell ref="F18:G18"/>
    <mergeCell ref="A20:K20"/>
    <mergeCell ref="A22:G22"/>
    <mergeCell ref="I16:K16"/>
    <mergeCell ref="I22:K22"/>
    <mergeCell ref="I24:K24"/>
    <mergeCell ref="I23:K23"/>
    <mergeCell ref="I25:K25"/>
    <mergeCell ref="I21:K21"/>
    <mergeCell ref="A33:G33"/>
    <mergeCell ref="A34:G34"/>
    <mergeCell ref="F36:G36"/>
    <mergeCell ref="F27:G27"/>
    <mergeCell ref="A29:K29"/>
    <mergeCell ref="A31:G31"/>
    <mergeCell ref="A32:G32"/>
    <mergeCell ref="I31:K31"/>
    <mergeCell ref="I33:K33"/>
    <mergeCell ref="I32:K32"/>
    <mergeCell ref="I34:K34"/>
    <mergeCell ref="I30:K30"/>
  </mergeCells>
  <conditionalFormatting sqref="I5:J6">
    <cfRule type="containsText" dxfId="71" priority="23" operator="containsText" text="Pass">
      <formula>NOT(ISERROR(SEARCH("Pass",I5)))</formula>
    </cfRule>
    <cfRule type="containsText" dxfId="70" priority="24" operator="containsText" text="Fail">
      <formula>NOT(ISERROR(SEARCH("Fail",I5)))</formula>
    </cfRule>
  </conditionalFormatting>
  <conditionalFormatting sqref="H12 H14 H22 H24 H31 H33">
    <cfRule type="cellIs" dxfId="69" priority="9" stopIfTrue="1" operator="equal">
      <formula>"Nee"</formula>
    </cfRule>
    <cfRule type="cellIs" dxfId="68" priority="10" stopIfTrue="1" operator="equal">
      <formula>"Ja"</formula>
    </cfRule>
  </conditionalFormatting>
  <conditionalFormatting sqref="H13 H15 H34 H23 H32 H25">
    <cfRule type="cellIs" dxfId="67" priority="11" stopIfTrue="1" operator="equal">
      <formula>"Nee"</formula>
    </cfRule>
    <cfRule type="cellIs" dxfId="66" priority="12" stopIfTrue="1" operator="equal">
      <formula>"Ja"</formula>
    </cfRule>
  </conditionalFormatting>
  <conditionalFormatting sqref="H36">
    <cfRule type="cellIs" dxfId="65" priority="7" stopIfTrue="1" operator="equal">
      <formula>"Fail"</formula>
    </cfRule>
    <cfRule type="cellIs" dxfId="64" priority="8" stopIfTrue="1" operator="equal">
      <formula>"Pass"</formula>
    </cfRule>
  </conditionalFormatting>
  <conditionalFormatting sqref="H27">
    <cfRule type="cellIs" dxfId="63" priority="5" stopIfTrue="1" operator="equal">
      <formula>"Fail"</formula>
    </cfRule>
    <cfRule type="cellIs" dxfId="62" priority="6" stopIfTrue="1" operator="equal">
      <formula>"Pass"</formula>
    </cfRule>
  </conditionalFormatting>
  <conditionalFormatting sqref="H18">
    <cfRule type="cellIs" dxfId="61" priority="3" stopIfTrue="1" operator="equal">
      <formula>"Fail"</formula>
    </cfRule>
    <cfRule type="cellIs" dxfId="60" priority="4" stopIfTrue="1" operator="equal">
      <formula>"Pass"</formula>
    </cfRule>
  </conditionalFormatting>
  <conditionalFormatting sqref="H16">
    <cfRule type="cellIs" dxfId="59" priority="1" stopIfTrue="1" operator="equal">
      <formula>"Nee"</formula>
    </cfRule>
    <cfRule type="cellIs" dxfId="58" priority="2" stopIfTrue="1" operator="equal">
      <formula>"Ja"</formula>
    </cfRule>
  </conditionalFormatting>
  <dataValidations count="2">
    <dataValidation type="list" allowBlank="1" showInputMessage="1" showErrorMessage="1" sqref="H31:H34 H22:H25 H12:H16">
      <formula1>"&lt;&lt; kies &gt;&gt;, Ja, Nee"</formula1>
    </dataValidation>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2"/>
  <sheetViews>
    <sheetView workbookViewId="0">
      <selection activeCell="D32" sqref="D32"/>
    </sheetView>
  </sheetViews>
  <sheetFormatPr defaultColWidth="10.85546875" defaultRowHeight="12.75"/>
  <cols>
    <col min="1" max="1" width="16.42578125" style="53" customWidth="1"/>
    <col min="2" max="2" width="16.28515625" style="53" customWidth="1"/>
    <col min="3" max="3" width="16" style="53" customWidth="1"/>
    <col min="4" max="6" width="10.85546875" style="53"/>
    <col min="7" max="7" width="12.42578125" style="53" bestFit="1" customWidth="1"/>
    <col min="8" max="8" width="13.7109375" style="53" bestFit="1" customWidth="1"/>
    <col min="9" max="16384" width="10.85546875" style="53"/>
  </cols>
  <sheetData>
    <row r="1" spans="1:251" s="3" customFormat="1" ht="29.1" customHeight="1">
      <c r="A1" s="1" t="s">
        <v>115</v>
      </c>
      <c r="B1" s="2"/>
      <c r="C1" s="2"/>
      <c r="D1" s="2"/>
      <c r="E1" s="2"/>
      <c r="F1" s="2"/>
      <c r="G1" s="2"/>
      <c r="H1" s="2"/>
      <c r="I1" s="2"/>
      <c r="J1" s="2"/>
      <c r="K1" s="2"/>
    </row>
    <row r="2" spans="1:251" s="3" customFormat="1" ht="13.5" thickBot="1">
      <c r="A2" s="4"/>
    </row>
    <row r="3" spans="1:251" s="3" customFormat="1" ht="15.95" customHeight="1">
      <c r="A3" s="5" t="s">
        <v>18</v>
      </c>
      <c r="B3" s="6"/>
      <c r="C3" s="6"/>
      <c r="D3" s="6"/>
      <c r="H3" s="158" t="s">
        <v>21</v>
      </c>
      <c r="I3" s="159"/>
      <c r="J3" s="7"/>
      <c r="K3" s="8"/>
    </row>
    <row r="4" spans="1:251" s="3" customFormat="1" ht="12.95" customHeight="1">
      <c r="A4" s="9" t="s">
        <v>19</v>
      </c>
      <c r="B4" s="10"/>
      <c r="C4" s="177" t="s">
        <v>158</v>
      </c>
      <c r="D4" s="177"/>
      <c r="E4" s="10"/>
      <c r="F4" s="10"/>
      <c r="H4" s="160"/>
      <c r="I4" s="161"/>
      <c r="J4" s="11"/>
      <c r="K4" s="12"/>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row>
    <row r="5" spans="1:251" s="3" customFormat="1" ht="12.95" customHeight="1" thickBot="1">
      <c r="A5" s="9"/>
      <c r="B5" s="10"/>
      <c r="C5" s="10"/>
      <c r="D5" s="10"/>
      <c r="E5" s="10"/>
      <c r="F5" s="10"/>
      <c r="H5" s="162" t="s">
        <v>45</v>
      </c>
      <c r="I5" s="163"/>
      <c r="J5" s="197" t="str">
        <f>B20</f>
        <v>?</v>
      </c>
      <c r="K5" s="198"/>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row>
    <row r="6" spans="1:251" s="3" customFormat="1" ht="15.95" customHeight="1">
      <c r="A6" s="196" t="s">
        <v>107</v>
      </c>
      <c r="B6" s="196"/>
      <c r="C6" s="14">
        <f>IF(C4="Diagnostisch",350,IF(C4="Diagnostisch secundair",350,IF(C4="Review",180,IF(C4="Mammografie",420,10))))</f>
        <v>420</v>
      </c>
      <c r="H6" s="53"/>
      <c r="I6" s="53"/>
      <c r="J6" s="53"/>
      <c r="K6" s="53"/>
    </row>
    <row r="7" spans="1:251">
      <c r="A7" s="196"/>
      <c r="B7" s="196"/>
      <c r="C7" s="128"/>
    </row>
    <row r="8" spans="1:251">
      <c r="A8" s="196" t="s">
        <v>108</v>
      </c>
      <c r="B8" s="196"/>
      <c r="C8" s="130">
        <f>IF(C4="Diagnostisch",1,IF(C4="Diagnostisch secundair",1,IF(C4="Review","0,8",IF(C4="Mammografie",1.2,10))))</f>
        <v>1.2</v>
      </c>
    </row>
    <row r="9" spans="1:251">
      <c r="A9" s="196" t="s">
        <v>109</v>
      </c>
      <c r="B9" s="196"/>
      <c r="C9" s="129">
        <f>IF(C4="Diagnostisch",350,IF(C4="Diagnostisch secundair",350,IF(C4="Review",225,IF(C4="Mammografie",350,10))))</f>
        <v>350</v>
      </c>
    </row>
    <row r="11" spans="1:251" s="3" customFormat="1" ht="18" customHeight="1">
      <c r="A11" s="18" t="s">
        <v>37</v>
      </c>
      <c r="B11" s="19"/>
      <c r="C11" s="19"/>
      <c r="D11" s="19"/>
      <c r="E11" s="19"/>
      <c r="F11" s="19"/>
      <c r="G11" s="19"/>
      <c r="H11" s="20"/>
      <c r="I11" s="20"/>
      <c r="J11" s="20"/>
      <c r="K11" s="2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row>
    <row r="13" spans="1:251" customFormat="1" ht="15">
      <c r="A13" s="119"/>
      <c r="B13" s="120" t="s">
        <v>45</v>
      </c>
      <c r="C13" s="133"/>
      <c r="D13" s="127"/>
      <c r="E13" s="132"/>
      <c r="F13" s="132"/>
      <c r="G13" s="132"/>
      <c r="H13" s="132"/>
      <c r="I13" s="136"/>
      <c r="J13" s="136"/>
      <c r="K13" s="136"/>
      <c r="L13" s="132"/>
      <c r="M13" s="46"/>
      <c r="N13" s="46"/>
      <c r="O13" s="46"/>
      <c r="P13" s="46"/>
      <c r="Q13" s="46"/>
      <c r="R13" s="46"/>
      <c r="S13" s="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row>
    <row r="14" spans="1:251" customFormat="1" ht="15">
      <c r="A14" s="119" t="s">
        <v>110</v>
      </c>
      <c r="B14" s="138"/>
      <c r="C14" s="134"/>
      <c r="D14" s="119"/>
      <c r="E14" s="133"/>
      <c r="F14" s="133"/>
      <c r="G14" s="134"/>
      <c r="H14" s="132"/>
      <c r="I14" s="137"/>
      <c r="J14" s="135"/>
      <c r="K14" s="135"/>
      <c r="L14" s="132"/>
      <c r="M14" s="122"/>
      <c r="N14" s="122"/>
      <c r="O14" s="46"/>
      <c r="P14" s="46"/>
      <c r="Q14" s="46"/>
      <c r="R14" s="46"/>
      <c r="S14" s="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row>
    <row r="15" spans="1:251" customFormat="1" ht="15">
      <c r="A15" s="119" t="s">
        <v>111</v>
      </c>
      <c r="B15" s="138"/>
      <c r="C15" s="134"/>
      <c r="D15" s="119"/>
      <c r="E15" s="134"/>
      <c r="F15" s="134"/>
      <c r="G15" s="134"/>
      <c r="H15" s="132"/>
      <c r="I15" s="135"/>
      <c r="J15" s="135"/>
      <c r="K15" s="135"/>
      <c r="L15" s="132"/>
      <c r="M15" s="122"/>
      <c r="N15" s="122"/>
      <c r="O15" s="46"/>
      <c r="P15" s="46"/>
      <c r="Q15" s="46"/>
      <c r="R15" s="46"/>
      <c r="S15" s="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row>
    <row r="16" spans="1:251" customFormat="1" ht="15">
      <c r="A16" s="119" t="s">
        <v>112</v>
      </c>
      <c r="B16" s="138"/>
      <c r="C16" s="134"/>
      <c r="D16" s="119"/>
      <c r="E16" s="134"/>
      <c r="F16" s="134"/>
      <c r="G16" s="134"/>
      <c r="H16" s="132"/>
      <c r="I16" s="135"/>
      <c r="J16" s="135"/>
      <c r="K16" s="135"/>
      <c r="L16" s="132"/>
      <c r="M16" s="122"/>
      <c r="N16" s="122"/>
      <c r="O16" s="46"/>
      <c r="P16" s="46"/>
      <c r="Q16" s="46"/>
      <c r="R16" s="46"/>
      <c r="S16" s="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row>
    <row r="17" spans="1:75" customFormat="1" ht="15">
      <c r="A17" s="119" t="s">
        <v>113</v>
      </c>
      <c r="B17" s="138" t="str">
        <f>IF(B15&gt;0,SUM(B15:B16),"")</f>
        <v/>
      </c>
      <c r="C17" s="133"/>
      <c r="D17" s="119"/>
      <c r="E17" s="134"/>
      <c r="F17" s="134"/>
      <c r="G17" s="134"/>
      <c r="H17" s="132"/>
      <c r="I17" s="137"/>
      <c r="J17" s="135"/>
      <c r="K17" s="135"/>
      <c r="L17" s="132"/>
      <c r="M17" s="122"/>
      <c r="N17" s="122"/>
      <c r="O17" s="46"/>
      <c r="P17" s="46"/>
      <c r="Q17" s="46"/>
      <c r="R17" s="46"/>
      <c r="S17" s="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c r="BM17" s="53"/>
      <c r="BN17" s="53"/>
      <c r="BO17" s="53"/>
      <c r="BP17" s="53"/>
      <c r="BQ17" s="53"/>
      <c r="BR17" s="53"/>
      <c r="BS17" s="53"/>
      <c r="BT17" s="53"/>
      <c r="BU17" s="53"/>
      <c r="BV17" s="53"/>
      <c r="BW17" s="53"/>
    </row>
    <row r="18" spans="1:75" customFormat="1" ht="15">
      <c r="A18" s="119" t="s">
        <v>105</v>
      </c>
      <c r="B18" s="139" t="str">
        <f>IF(B15&gt;0,B14/B17,"")</f>
        <v/>
      </c>
      <c r="C18" s="134"/>
      <c r="D18" s="124"/>
      <c r="E18" s="133"/>
      <c r="F18" s="133"/>
      <c r="G18" s="134"/>
      <c r="H18" s="132"/>
      <c r="I18" s="137"/>
      <c r="J18" s="135"/>
      <c r="K18" s="135"/>
      <c r="L18" s="132"/>
      <c r="M18" s="122"/>
      <c r="N18" s="122"/>
      <c r="O18" s="46"/>
      <c r="P18" s="46"/>
      <c r="Q18" s="46"/>
      <c r="R18" s="46"/>
      <c r="S18" s="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c r="BO18" s="53"/>
      <c r="BP18" s="53"/>
      <c r="BQ18" s="53"/>
      <c r="BR18" s="53"/>
      <c r="BS18" s="53"/>
      <c r="BT18" s="53"/>
      <c r="BU18" s="53"/>
      <c r="BV18" s="53"/>
      <c r="BW18" s="53"/>
    </row>
    <row r="19" spans="1:75" customFormat="1" ht="14.25">
      <c r="A19" s="119"/>
      <c r="B19" s="121"/>
      <c r="C19" s="121"/>
      <c r="D19" s="119"/>
      <c r="E19" s="119"/>
      <c r="F19" s="119"/>
      <c r="G19" s="119"/>
      <c r="H19" s="119"/>
      <c r="I19" s="119"/>
      <c r="J19" s="119"/>
      <c r="K19" s="119"/>
      <c r="L19" s="119"/>
      <c r="M19" s="109"/>
      <c r="N19" s="46"/>
      <c r="O19" s="46"/>
      <c r="P19" s="46"/>
      <c r="Q19" s="46"/>
      <c r="R19" s="46"/>
      <c r="S19" s="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row>
    <row r="20" spans="1:75" customFormat="1" ht="15.75">
      <c r="A20" s="131" t="s">
        <v>106</v>
      </c>
      <c r="B20" s="85" t="str">
        <f>IF(AND(B14="",B17="",B18=""),"?",IF(EXACT(B14,"Diagnostisch primair"),IF(AND(B14&gt;=C6,B17&lt;=C8,B18&gt;=C9),"Pass","Fail"),IF(EXACT(B14,"Mammografie"),IF(AND(B14&gt;=C6,B17&lt;=C8,B18&gt;=C9),"Pass","Fail"),IF(AND(B14&gt;=C6,B17&lt;=C8,B18&gt;=C9),"Pass","Fail"))))</f>
        <v>?</v>
      </c>
      <c r="C20" s="85"/>
      <c r="D20" s="53"/>
      <c r="E20" s="53"/>
      <c r="F20" s="53"/>
      <c r="G20" s="123"/>
      <c r="H20" s="123"/>
      <c r="I20" s="123"/>
      <c r="J20" s="123"/>
      <c r="K20" s="123"/>
      <c r="L20" s="123"/>
      <c r="M20" s="46"/>
      <c r="N20" s="46"/>
      <c r="O20" s="46"/>
      <c r="P20" s="46"/>
      <c r="Q20" s="46"/>
      <c r="R20" s="46"/>
      <c r="S20" s="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c r="BO20" s="53"/>
      <c r="BP20" s="53"/>
      <c r="BQ20" s="53"/>
      <c r="BR20" s="53"/>
      <c r="BS20" s="53"/>
      <c r="BT20" s="53"/>
      <c r="BU20" s="53"/>
      <c r="BV20" s="53"/>
      <c r="BW20" s="53"/>
    </row>
    <row r="21" spans="1:75" customFormat="1" ht="15">
      <c r="A21" s="123"/>
      <c r="B21" s="123"/>
      <c r="C21" s="123"/>
      <c r="D21" s="125"/>
      <c r="E21" s="126"/>
      <c r="F21" s="126"/>
      <c r="G21" s="123"/>
      <c r="H21" s="123"/>
      <c r="I21" s="123"/>
      <c r="J21" s="123"/>
      <c r="K21" s="123"/>
      <c r="L21" s="123"/>
      <c r="M21" s="46"/>
      <c r="N21" s="46"/>
      <c r="O21" s="46"/>
      <c r="P21" s="46"/>
      <c r="Q21" s="46"/>
      <c r="R21" s="46"/>
      <c r="S21" s="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53"/>
      <c r="BR21" s="53"/>
      <c r="BS21" s="53"/>
      <c r="BT21" s="53"/>
      <c r="BU21" s="53"/>
      <c r="BV21" s="53"/>
      <c r="BW21" s="53"/>
    </row>
    <row r="22" spans="1:75" ht="14.25">
      <c r="F22" s="123"/>
      <c r="G22" s="123"/>
      <c r="H22" s="123"/>
      <c r="I22" s="123"/>
      <c r="J22" s="123"/>
      <c r="K22" s="123"/>
    </row>
  </sheetData>
  <mergeCells count="6">
    <mergeCell ref="A9:B9"/>
    <mergeCell ref="C4:D4"/>
    <mergeCell ref="J5:K5"/>
    <mergeCell ref="A6:B6"/>
    <mergeCell ref="A7:B7"/>
    <mergeCell ref="A8:B8"/>
  </mergeCells>
  <conditionalFormatting sqref="J5">
    <cfRule type="containsText" dxfId="57" priority="41" operator="containsText" text="Pass">
      <formula>NOT(ISERROR(SEARCH("Pass",J5)))</formula>
    </cfRule>
    <cfRule type="containsText" dxfId="56" priority="42" operator="containsText" text="Fail">
      <formula>NOT(ISERROR(SEARCH("Fail",J5)))</formula>
    </cfRule>
  </conditionalFormatting>
  <conditionalFormatting sqref="E14:F14 E18:F18">
    <cfRule type="cellIs" dxfId="55" priority="37" stopIfTrue="1" operator="equal">
      <formula>"pass"</formula>
    </cfRule>
    <cfRule type="cellIs" dxfId="54" priority="38" stopIfTrue="1" operator="equal">
      <formula>"fail"</formula>
    </cfRule>
  </conditionalFormatting>
  <conditionalFormatting sqref="B14">
    <cfRule type="expression" dxfId="53" priority="35">
      <formula>EXACT($B$14,"")</formula>
    </cfRule>
    <cfRule type="cellIs" dxfId="52" priority="36" operator="lessThan">
      <formula>$C$6</formula>
    </cfRule>
  </conditionalFormatting>
  <conditionalFormatting sqref="B18">
    <cfRule type="cellIs" dxfId="51" priority="30" operator="lessThan">
      <formula>C9</formula>
    </cfRule>
  </conditionalFormatting>
  <conditionalFormatting sqref="B20">
    <cfRule type="cellIs" dxfId="50" priority="23" stopIfTrue="1" operator="equal">
      <formula>"Fail"</formula>
    </cfRule>
    <cfRule type="cellIs" dxfId="49" priority="24" stopIfTrue="1" operator="equal">
      <formula>"Pass"</formula>
    </cfRule>
  </conditionalFormatting>
  <conditionalFormatting sqref="B15">
    <cfRule type="expression" dxfId="48" priority="19">
      <formula>EXACT(B15,"")</formula>
    </cfRule>
  </conditionalFormatting>
  <conditionalFormatting sqref="C20">
    <cfRule type="cellIs" dxfId="47" priority="4" stopIfTrue="1" operator="equal">
      <formula>"Fail"</formula>
    </cfRule>
    <cfRule type="cellIs" dxfId="46" priority="5" stopIfTrue="1" operator="equal">
      <formula>"Pass"</formula>
    </cfRule>
  </conditionalFormatting>
  <conditionalFormatting sqref="C13 C17">
    <cfRule type="cellIs" dxfId="45" priority="2" stopIfTrue="1" operator="equal">
      <formula>"pass"</formula>
    </cfRule>
    <cfRule type="cellIs" dxfId="44" priority="3" stopIfTrue="1" operator="equal">
      <formula>"fail"</formula>
    </cfRule>
  </conditionalFormatting>
  <dataValidations count="1">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4"/>
  <sheetViews>
    <sheetView workbookViewId="0">
      <selection activeCell="C4" sqref="C4:D4"/>
    </sheetView>
  </sheetViews>
  <sheetFormatPr defaultColWidth="9.140625" defaultRowHeight="12.75"/>
  <cols>
    <col min="1" max="1" width="12" style="3" customWidth="1"/>
    <col min="2" max="3" width="9.140625" style="3" customWidth="1"/>
    <col min="4" max="4" width="12" style="3" customWidth="1"/>
    <col min="5" max="6" width="9.140625" style="3" customWidth="1"/>
    <col min="7" max="7" width="17.28515625" style="3" customWidth="1"/>
    <col min="8" max="11" width="9.140625" style="3" customWidth="1"/>
    <col min="12" max="12" width="12.42578125" style="3" bestFit="1" customWidth="1"/>
    <col min="13" max="16384" width="9.140625" style="3"/>
  </cols>
  <sheetData>
    <row r="1" spans="1:256" ht="29.1" customHeight="1">
      <c r="A1" s="1" t="s">
        <v>116</v>
      </c>
      <c r="B1" s="2"/>
      <c r="C1" s="2"/>
      <c r="D1" s="2"/>
      <c r="E1" s="2"/>
      <c r="F1" s="2"/>
      <c r="G1" s="2"/>
      <c r="H1" s="2"/>
      <c r="I1" s="2"/>
      <c r="J1" s="2"/>
      <c r="K1" s="2"/>
      <c r="L1" s="2"/>
      <c r="M1" s="2"/>
      <c r="N1" s="2"/>
      <c r="O1" s="2"/>
      <c r="P1" s="2"/>
    </row>
    <row r="2" spans="1:256" ht="13.5" thickBot="1">
      <c r="A2" s="4"/>
    </row>
    <row r="3" spans="1:256" ht="15.95" customHeight="1">
      <c r="A3" s="5" t="s">
        <v>18</v>
      </c>
      <c r="B3" s="6"/>
      <c r="C3" s="6"/>
      <c r="D3" s="6"/>
      <c r="I3" s="199" t="s">
        <v>21</v>
      </c>
      <c r="J3" s="200"/>
      <c r="K3" s="7"/>
      <c r="L3" s="8"/>
    </row>
    <row r="4" spans="1:256">
      <c r="A4" s="9" t="s">
        <v>19</v>
      </c>
      <c r="B4" s="10"/>
      <c r="C4" s="177" t="s">
        <v>158</v>
      </c>
      <c r="D4" s="177"/>
      <c r="E4" s="10"/>
      <c r="F4" s="10"/>
      <c r="I4" s="201"/>
      <c r="J4" s="202"/>
      <c r="K4" s="11"/>
      <c r="L4" s="12"/>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row>
    <row r="5" spans="1:256" ht="15.75" customHeight="1" thickBot="1">
      <c r="A5" s="9"/>
      <c r="B5" s="10"/>
      <c r="C5" s="10"/>
      <c r="D5" s="10"/>
      <c r="E5" s="10"/>
      <c r="F5" s="10"/>
      <c r="I5" s="205" t="s">
        <v>45</v>
      </c>
      <c r="J5" s="206"/>
      <c r="K5" s="203" t="str">
        <f>IF($C$34="","",IF(MAX(F18:F34)&gt;C6,"Fail","Pass"))</f>
        <v>Pass</v>
      </c>
      <c r="L5" s="204"/>
      <c r="N5" s="13"/>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row>
    <row r="6" spans="1:256" ht="15.95" customHeight="1">
      <c r="A6" s="196" t="s">
        <v>23</v>
      </c>
      <c r="B6" s="196"/>
      <c r="C6" s="14">
        <f>IF(C4="Diagnostisch",10,IF(C4="Diagnostisch secundair",20,IF(C4="Review",20,IF(C4="Mammografie",10,10))))</f>
        <v>10</v>
      </c>
      <c r="E6" s="165" t="s">
        <v>151</v>
      </c>
      <c r="F6" s="3">
        <v>0.37</v>
      </c>
      <c r="G6" s="165" t="s">
        <v>125</v>
      </c>
      <c r="I6" s="10"/>
      <c r="J6" s="10"/>
      <c r="K6" s="10"/>
      <c r="L6" s="10"/>
    </row>
    <row r="7" spans="1:256" ht="12.95" customHeight="1">
      <c r="A7" s="81" t="s">
        <v>22</v>
      </c>
      <c r="B7" s="81"/>
      <c r="C7" s="15" t="str">
        <f>IF(C4="Diagnostisch","+/-10%",IF(C4="Diagnostisch secundair","+/-20%",IF(C4="Mammografie","+/-10%",IF(C4="Review","+/-20%","ERROR"))))</f>
        <v>+/-10%</v>
      </c>
      <c r="E7" s="10"/>
      <c r="F7" s="10"/>
      <c r="I7" s="10"/>
      <c r="J7" s="10"/>
      <c r="K7" s="10"/>
      <c r="L7" s="10"/>
      <c r="M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row>
    <row r="8" spans="1:256" ht="14.1" customHeight="1">
      <c r="E8" s="10"/>
      <c r="F8" s="10"/>
      <c r="I8" s="10"/>
      <c r="J8" s="10"/>
      <c r="K8" s="10"/>
      <c r="L8" s="10"/>
      <c r="M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row>
    <row r="9" spans="1:256">
      <c r="A9" s="16" t="s">
        <v>153</v>
      </c>
      <c r="B9" s="17"/>
      <c r="C9" s="17"/>
      <c r="D9" s="17"/>
      <c r="E9" s="17"/>
      <c r="F9" s="17"/>
      <c r="G9" s="17"/>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c r="HY9" s="10"/>
      <c r="HZ9" s="10"/>
      <c r="IA9" s="10"/>
      <c r="IB9" s="10"/>
      <c r="IC9" s="10"/>
      <c r="ID9" s="10"/>
      <c r="IE9" s="10"/>
      <c r="IF9" s="10"/>
      <c r="IG9" s="10"/>
      <c r="IH9" s="10"/>
      <c r="II9" s="10"/>
      <c r="IJ9" s="10"/>
      <c r="IK9" s="10"/>
      <c r="IL9" s="10"/>
      <c r="IM9" s="10"/>
      <c r="IN9" s="10"/>
      <c r="IO9" s="10"/>
      <c r="IP9" s="10"/>
      <c r="IQ9" s="10"/>
      <c r="IR9" s="10"/>
      <c r="IS9" s="10"/>
      <c r="IT9" s="10"/>
      <c r="IU9" s="10"/>
      <c r="IV9" s="10"/>
    </row>
    <row r="10" spans="1:256">
      <c r="A10" s="16"/>
      <c r="B10" s="17"/>
      <c r="C10" s="17"/>
      <c r="D10" s="17"/>
      <c r="E10" s="17"/>
      <c r="F10" s="17"/>
      <c r="G10" s="17"/>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c r="IR10" s="10"/>
      <c r="IS10" s="10"/>
      <c r="IT10" s="10"/>
      <c r="IU10" s="10"/>
      <c r="IV10" s="10"/>
    </row>
    <row r="11" spans="1:256" ht="18" customHeight="1">
      <c r="A11" s="18" t="s">
        <v>17</v>
      </c>
      <c r="B11" s="19"/>
      <c r="C11" s="19"/>
      <c r="D11" s="19"/>
      <c r="E11" s="19"/>
      <c r="F11" s="19"/>
      <c r="G11" s="19"/>
      <c r="H11" s="20"/>
      <c r="I11" s="20"/>
      <c r="J11" s="20"/>
      <c r="K11" s="20"/>
      <c r="L11" s="20"/>
      <c r="M11" s="20"/>
      <c r="N11" s="20"/>
      <c r="O11" s="20"/>
      <c r="P11" s="21"/>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c r="IU11" s="10"/>
      <c r="IV11" s="10"/>
    </row>
    <row r="12" spans="1:256" ht="15.75">
      <c r="A12" s="22"/>
      <c r="B12" s="17"/>
      <c r="C12" s="17"/>
      <c r="D12" s="17"/>
      <c r="E12" s="17"/>
      <c r="F12" s="17"/>
      <c r="G12" s="17"/>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row>
    <row r="13" spans="1:256">
      <c r="A13" s="23"/>
      <c r="B13" s="24"/>
      <c r="C13" s="24"/>
      <c r="D13" s="24"/>
      <c r="E13" s="24"/>
      <c r="F13" s="24"/>
      <c r="G13" s="24"/>
      <c r="H13" s="25"/>
      <c r="I13" s="25"/>
      <c r="J13" s="25"/>
      <c r="K13" s="25"/>
      <c r="L13" s="25"/>
      <c r="M13" s="25"/>
      <c r="N13" s="25"/>
      <c r="O13" s="25"/>
      <c r="P13" s="26"/>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s="10" customFormat="1">
      <c r="A14" s="27" t="s">
        <v>0</v>
      </c>
      <c r="B14" s="24"/>
      <c r="C14" s="167"/>
      <c r="D14" s="167"/>
      <c r="E14" s="167"/>
      <c r="F14" s="167"/>
      <c r="G14" s="167"/>
      <c r="H14" s="28" t="s">
        <v>1</v>
      </c>
      <c r="I14" s="25"/>
      <c r="J14" s="29"/>
      <c r="K14" s="167"/>
      <c r="L14" s="25"/>
      <c r="M14" s="167" t="s">
        <v>6</v>
      </c>
      <c r="N14" s="167"/>
      <c r="O14" s="26"/>
      <c r="P14" s="26"/>
    </row>
    <row r="15" spans="1:256">
      <c r="A15" s="24" t="s">
        <v>2</v>
      </c>
      <c r="B15" s="24"/>
      <c r="C15" s="167" t="s">
        <v>3</v>
      </c>
      <c r="D15" s="167" t="s">
        <v>4</v>
      </c>
      <c r="E15" s="167"/>
      <c r="F15" s="167" t="s">
        <v>5</v>
      </c>
      <c r="G15" s="25"/>
      <c r="H15" s="167" t="s">
        <v>2</v>
      </c>
      <c r="I15" s="25"/>
      <c r="J15" s="167" t="s">
        <v>3</v>
      </c>
      <c r="K15" s="167" t="s">
        <v>4</v>
      </c>
      <c r="L15" s="25"/>
      <c r="M15" s="167" t="s">
        <v>24</v>
      </c>
      <c r="N15" s="30" t="s">
        <v>25</v>
      </c>
      <c r="O15" s="26"/>
      <c r="P15" s="26"/>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row>
    <row r="16" spans="1:256">
      <c r="A16" s="24" t="s">
        <v>7</v>
      </c>
      <c r="B16" s="24" t="s">
        <v>8</v>
      </c>
      <c r="C16" s="30" t="s">
        <v>9</v>
      </c>
      <c r="D16" s="167" t="s">
        <v>10</v>
      </c>
      <c r="E16" s="167" t="s">
        <v>6</v>
      </c>
      <c r="F16" s="167" t="s">
        <v>11</v>
      </c>
      <c r="G16" s="25"/>
      <c r="H16" s="167" t="s">
        <v>7</v>
      </c>
      <c r="I16" s="167" t="s">
        <v>8</v>
      </c>
      <c r="J16" s="30" t="s">
        <v>9</v>
      </c>
      <c r="K16" s="167" t="s">
        <v>10</v>
      </c>
      <c r="L16" s="30" t="s">
        <v>6</v>
      </c>
      <c r="M16" s="31">
        <f>C6/100</f>
        <v>0.1</v>
      </c>
      <c r="N16" s="31">
        <f>C6/100</f>
        <v>0.1</v>
      </c>
      <c r="O16" s="26"/>
      <c r="P16" s="26"/>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row>
    <row r="17" spans="1:253">
      <c r="A17" s="24">
        <v>1</v>
      </c>
      <c r="B17" s="29">
        <v>0</v>
      </c>
      <c r="C17" s="166">
        <v>0.47299999999999998</v>
      </c>
      <c r="D17" s="32">
        <f t="shared" ref="D17:D34" si="0">IF($C$34="","",(71.498068+94.593053*LOG(C17,10)+41.912053*POWER(LOG(C17,10),2)+9.8247004*POWER(LOG(C17,10),3)+0.28175407*POWER(LOG(C17,10),4)-1.1878455*POWER(LOG(C17,10),5)-0.18014349*POWER(LOG(C17,10),6)+0.14710899*POWER(LOG(C17,10),7)-0.017046845*POWER(LOG(C17,10),8)))</f>
        <v>44.842432518713593</v>
      </c>
      <c r="E17" s="33"/>
      <c r="F17" s="167"/>
      <c r="G17" s="25"/>
      <c r="H17" s="167">
        <v>1</v>
      </c>
      <c r="I17" s="167">
        <v>0</v>
      </c>
      <c r="J17" s="34">
        <f>IF(C17="","",C17)</f>
        <v>0.47299999999999998</v>
      </c>
      <c r="K17" s="33">
        <f>IF(C17="","",(71.498068+94.593053*LOG(J17,10)+41.912053*POWER(LOG(J17,10),2)+9.8247004*POWER(LOG(J17,10),3)+0.28175407*POWER(LOG(J17,10),4)-1.1878455*POWER(LOG(J17,10),5)-0.18014349*POWER(LOG(J17,10),6)+0.14710899*POWER(LOG(J17,10),7)-0.017046845*POWER(LOG(J17,10),8)))</f>
        <v>44.842432518713593</v>
      </c>
      <c r="L17" s="25"/>
      <c r="M17" s="25"/>
      <c r="N17" s="25"/>
      <c r="O17" s="26"/>
      <c r="P17" s="26"/>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row>
    <row r="18" spans="1:253">
      <c r="A18" s="24">
        <f t="shared" ref="A18:A34" si="1">A17+1</f>
        <v>2</v>
      </c>
      <c r="B18" s="29">
        <f t="shared" ref="B18:B34" si="2">B17+240</f>
        <v>240</v>
      </c>
      <c r="C18" s="166">
        <v>1.4</v>
      </c>
      <c r="D18" s="32">
        <f t="shared" si="0"/>
        <v>86.246434066203832</v>
      </c>
      <c r="E18" s="33">
        <f t="shared" ref="E18:E34" si="3">IF($C$34="","",((C18-C17)/(0.5*(C18+C17))))</f>
        <v>0.9898558462359851</v>
      </c>
      <c r="F18" s="35">
        <f t="shared" ref="F18:F34" si="4">IF(C18="","",(ABS(L18-E18)/L18)*100)</f>
        <v>7.8164609055769718</v>
      </c>
      <c r="G18" s="25"/>
      <c r="H18" s="167">
        <f t="shared" ref="H18:H34" si="5">H17+1</f>
        <v>2</v>
      </c>
      <c r="I18" s="167">
        <f t="shared" ref="I18:I34" si="6">I17+240</f>
        <v>240</v>
      </c>
      <c r="J18" s="36">
        <f t="shared" ref="J18:J33" si="7">IF($C$34="","",(10^((-1.3011877+(0.080242636*LN(K18))+(0.13646699*(LN(K18))^2)+(-0.025468404*(LN(K18))^3)+(0.0013635334*(LN(K18))^4))/(1+(-0.025840191*LN(K18))+(-0.10320229*(LN(K18))^2)+(0.02874562*(LN(K18))^3)+(-0.0031978977*(LN(K18))^4)+(0.00012992634*(LN(K18))^5)))))</f>
        <v>1.2757646863756633</v>
      </c>
      <c r="K18" s="37">
        <f t="shared" ref="K18:K33" si="8">IF($C$34="","",($K$38*I18+$K$39))</f>
        <v>81.995741526474134</v>
      </c>
      <c r="L18" s="33">
        <f t="shared" ref="L18:L34" si="9">IF($C$34="","",((J18-J17)/(0.5*(J18+J17))))</f>
        <v>0.91809343204362526</v>
      </c>
      <c r="M18" s="33">
        <f t="shared" ref="M18:M34" si="10">IF($C$34="","",L18+(L18*$M$16))</f>
        <v>1.0099027752479879</v>
      </c>
      <c r="N18" s="33">
        <f t="shared" ref="N18:N34" si="11">IF($C$34="","",L18-(L18*$N$16))</f>
        <v>0.82628408883926274</v>
      </c>
      <c r="O18" s="26"/>
      <c r="P18" s="26"/>
      <c r="Q18" s="38"/>
      <c r="R18" s="38"/>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row>
    <row r="19" spans="1:253">
      <c r="A19" s="24">
        <f t="shared" si="1"/>
        <v>3</v>
      </c>
      <c r="B19" s="29">
        <f t="shared" si="2"/>
        <v>480</v>
      </c>
      <c r="C19" s="166">
        <v>3</v>
      </c>
      <c r="D19" s="32">
        <f t="shared" si="0"/>
        <v>127.22246989917156</v>
      </c>
      <c r="E19" s="33">
        <f t="shared" si="3"/>
        <v>0.72727272727272729</v>
      </c>
      <c r="F19" s="35">
        <f t="shared" si="4"/>
        <v>5.3687708498621189</v>
      </c>
      <c r="G19" s="25"/>
      <c r="H19" s="167">
        <f t="shared" si="5"/>
        <v>3</v>
      </c>
      <c r="I19" s="167">
        <f t="shared" si="6"/>
        <v>480</v>
      </c>
      <c r="J19" s="36">
        <f t="shared" si="7"/>
        <v>2.620344143725855</v>
      </c>
      <c r="K19" s="37">
        <f t="shared" si="8"/>
        <v>119.14905053423468</v>
      </c>
      <c r="L19" s="33">
        <f t="shared" si="9"/>
        <v>0.69021658068784331</v>
      </c>
      <c r="M19" s="33">
        <f t="shared" si="10"/>
        <v>0.75923823875662766</v>
      </c>
      <c r="N19" s="33">
        <f t="shared" si="11"/>
        <v>0.62119492261905895</v>
      </c>
      <c r="O19" s="26"/>
      <c r="P19" s="26"/>
      <c r="Q19" s="38"/>
      <c r="R19" s="38"/>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row>
    <row r="20" spans="1:253">
      <c r="A20" s="24">
        <f t="shared" si="1"/>
        <v>4</v>
      </c>
      <c r="B20" s="29">
        <f t="shared" si="2"/>
        <v>720</v>
      </c>
      <c r="C20" s="166">
        <v>5.27</v>
      </c>
      <c r="D20" s="32">
        <f t="shared" si="0"/>
        <v>165.13976848460555</v>
      </c>
      <c r="E20" s="33">
        <f t="shared" si="3"/>
        <v>0.54897218863361541</v>
      </c>
      <c r="F20" s="35">
        <f t="shared" si="4"/>
        <v>2.0806003159351576</v>
      </c>
      <c r="G20" s="25"/>
      <c r="H20" s="167">
        <f t="shared" si="5"/>
        <v>4</v>
      </c>
      <c r="I20" s="167">
        <f t="shared" si="6"/>
        <v>720</v>
      </c>
      <c r="J20" s="36">
        <f t="shared" si="7"/>
        <v>4.6616098289872658</v>
      </c>
      <c r="K20" s="37">
        <f t="shared" si="8"/>
        <v>156.3023595419952</v>
      </c>
      <c r="L20" s="33">
        <f t="shared" si="9"/>
        <v>0.56063679965856017</v>
      </c>
      <c r="M20" s="33">
        <f t="shared" si="10"/>
        <v>0.61670047962441621</v>
      </c>
      <c r="N20" s="33">
        <f t="shared" si="11"/>
        <v>0.50457311969270413</v>
      </c>
      <c r="O20" s="26"/>
      <c r="P20" s="26"/>
      <c r="Q20" s="38"/>
      <c r="R20" s="38"/>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row>
    <row r="21" spans="1:253">
      <c r="A21" s="24">
        <f t="shared" si="1"/>
        <v>5</v>
      </c>
      <c r="B21" s="29">
        <f t="shared" si="2"/>
        <v>960</v>
      </c>
      <c r="C21" s="166">
        <v>8.36</v>
      </c>
      <c r="D21" s="32">
        <f t="shared" si="0"/>
        <v>201.45782526637558</v>
      </c>
      <c r="E21" s="33">
        <f t="shared" si="3"/>
        <v>0.45341159207630227</v>
      </c>
      <c r="F21" s="35">
        <f t="shared" si="4"/>
        <v>5.2059610901174791</v>
      </c>
      <c r="G21" s="25"/>
      <c r="H21" s="167">
        <f t="shared" si="5"/>
        <v>5</v>
      </c>
      <c r="I21" s="167">
        <f t="shared" si="6"/>
        <v>960</v>
      </c>
      <c r="J21" s="36">
        <f t="shared" si="7"/>
        <v>7.5921790980376285</v>
      </c>
      <c r="K21" s="37">
        <f t="shared" si="8"/>
        <v>193.45566854975576</v>
      </c>
      <c r="L21" s="33">
        <f t="shared" si="9"/>
        <v>0.47831234673663953</v>
      </c>
      <c r="M21" s="33">
        <f t="shared" si="10"/>
        <v>0.52614358141030348</v>
      </c>
      <c r="N21" s="33">
        <f t="shared" si="11"/>
        <v>0.43048111206297557</v>
      </c>
      <c r="O21" s="26"/>
      <c r="P21" s="26"/>
      <c r="Q21" s="38"/>
      <c r="R21" s="38"/>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row>
    <row r="22" spans="1:253">
      <c r="A22" s="24">
        <f t="shared" si="1"/>
        <v>6</v>
      </c>
      <c r="B22" s="29">
        <f t="shared" si="2"/>
        <v>1200</v>
      </c>
      <c r="C22" s="166">
        <v>12.9</v>
      </c>
      <c r="D22" s="32">
        <f t="shared" si="0"/>
        <v>240.05566489231748</v>
      </c>
      <c r="E22" s="33">
        <f t="shared" si="3"/>
        <v>0.42709313264346205</v>
      </c>
      <c r="F22" s="35">
        <f t="shared" si="4"/>
        <v>1.1631051789599767</v>
      </c>
      <c r="G22" s="25"/>
      <c r="H22" s="167">
        <f t="shared" si="5"/>
        <v>6</v>
      </c>
      <c r="I22" s="167">
        <f t="shared" si="6"/>
        <v>1200</v>
      </c>
      <c r="J22" s="36">
        <f t="shared" si="7"/>
        <v>11.655116811543214</v>
      </c>
      <c r="K22" s="37">
        <f t="shared" si="8"/>
        <v>230.60897755751628</v>
      </c>
      <c r="L22" s="33">
        <f t="shared" si="9"/>
        <v>0.42218270375145561</v>
      </c>
      <c r="M22" s="33">
        <f t="shared" si="10"/>
        <v>0.4644009741266012</v>
      </c>
      <c r="N22" s="33">
        <f t="shared" si="11"/>
        <v>0.37996443337631003</v>
      </c>
      <c r="O22" s="26"/>
      <c r="P22" s="26"/>
      <c r="Q22" s="38"/>
      <c r="R22" s="38"/>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row>
    <row r="23" spans="1:253">
      <c r="A23" s="24">
        <f t="shared" si="1"/>
        <v>7</v>
      </c>
      <c r="B23" s="29">
        <f t="shared" si="2"/>
        <v>1440</v>
      </c>
      <c r="C23" s="166">
        <v>18.899999999999999</v>
      </c>
      <c r="D23" s="32">
        <f t="shared" si="0"/>
        <v>277.60116556822192</v>
      </c>
      <c r="E23" s="33">
        <f t="shared" si="3"/>
        <v>0.37735849056603765</v>
      </c>
      <c r="F23" s="35">
        <f t="shared" si="4"/>
        <v>1.2082471165980246</v>
      </c>
      <c r="G23" s="25"/>
      <c r="H23" s="167">
        <f t="shared" si="5"/>
        <v>7</v>
      </c>
      <c r="I23" s="167">
        <f t="shared" si="6"/>
        <v>1440</v>
      </c>
      <c r="J23" s="36">
        <f t="shared" si="7"/>
        <v>17.158053017043613</v>
      </c>
      <c r="K23" s="37">
        <f t="shared" si="8"/>
        <v>267.76228656527678</v>
      </c>
      <c r="L23" s="33">
        <f t="shared" si="9"/>
        <v>0.38197367649849417</v>
      </c>
      <c r="M23" s="33">
        <f t="shared" si="10"/>
        <v>0.42017104414834361</v>
      </c>
      <c r="N23" s="33">
        <f t="shared" si="11"/>
        <v>0.34377630884864474</v>
      </c>
      <c r="O23" s="26"/>
      <c r="P23" s="26"/>
      <c r="Q23" s="38"/>
      <c r="R23" s="38"/>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row>
    <row r="24" spans="1:253">
      <c r="A24" s="24">
        <f t="shared" si="1"/>
        <v>8</v>
      </c>
      <c r="B24" s="29">
        <f t="shared" si="2"/>
        <v>1680</v>
      </c>
      <c r="C24" s="166">
        <v>26.9</v>
      </c>
      <c r="D24" s="32">
        <f t="shared" si="0"/>
        <v>315.17422999528821</v>
      </c>
      <c r="E24" s="33">
        <f t="shared" si="3"/>
        <v>0.3493449781659389</v>
      </c>
      <c r="F24" s="35">
        <f t="shared" si="4"/>
        <v>0.78520254706595138</v>
      </c>
      <c r="G24" s="25"/>
      <c r="H24" s="167">
        <f t="shared" si="5"/>
        <v>8</v>
      </c>
      <c r="I24" s="167">
        <f t="shared" si="6"/>
        <v>1680</v>
      </c>
      <c r="J24" s="36">
        <f t="shared" si="7"/>
        <v>24.490480427189301</v>
      </c>
      <c r="K24" s="37">
        <f t="shared" si="8"/>
        <v>304.91559557303731</v>
      </c>
      <c r="L24" s="33">
        <f t="shared" si="9"/>
        <v>0.35210975291428953</v>
      </c>
      <c r="M24" s="33">
        <f t="shared" si="10"/>
        <v>0.3873207282057185</v>
      </c>
      <c r="N24" s="33">
        <f t="shared" si="11"/>
        <v>0.31689877762286056</v>
      </c>
      <c r="O24" s="26"/>
      <c r="P24" s="26"/>
      <c r="Q24" s="38"/>
      <c r="R24" s="38"/>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row>
    <row r="25" spans="1:253">
      <c r="A25" s="24">
        <f t="shared" si="1"/>
        <v>9</v>
      </c>
      <c r="B25" s="29">
        <f t="shared" si="2"/>
        <v>1920</v>
      </c>
      <c r="C25" s="166">
        <v>37.200000000000003</v>
      </c>
      <c r="D25" s="32">
        <f t="shared" si="0"/>
        <v>351.99769788887016</v>
      </c>
      <c r="E25" s="33">
        <f t="shared" si="3"/>
        <v>0.3213728549141967</v>
      </c>
      <c r="F25" s="35">
        <f t="shared" si="4"/>
        <v>2.4125809428100746</v>
      </c>
      <c r="G25" s="25"/>
      <c r="H25" s="167">
        <f t="shared" si="5"/>
        <v>9</v>
      </c>
      <c r="I25" s="167">
        <f t="shared" si="6"/>
        <v>1920</v>
      </c>
      <c r="J25" s="36">
        <f t="shared" si="7"/>
        <v>34.145404076966521</v>
      </c>
      <c r="K25" s="37">
        <f t="shared" si="8"/>
        <v>342.06890458079795</v>
      </c>
      <c r="L25" s="33">
        <f t="shared" si="9"/>
        <v>0.32931791620173911</v>
      </c>
      <c r="M25" s="33">
        <f t="shared" si="10"/>
        <v>0.36224970782191301</v>
      </c>
      <c r="N25" s="33">
        <f t="shared" si="11"/>
        <v>0.29638612458156521</v>
      </c>
      <c r="O25" s="26"/>
      <c r="P25" s="26"/>
      <c r="Q25" s="38"/>
      <c r="R25" s="38"/>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row>
    <row r="26" spans="1:253">
      <c r="A26" s="24">
        <f t="shared" si="1"/>
        <v>10</v>
      </c>
      <c r="B26" s="29">
        <f t="shared" si="2"/>
        <v>2160</v>
      </c>
      <c r="C26" s="166">
        <v>50.7</v>
      </c>
      <c r="D26" s="32">
        <f t="shared" si="0"/>
        <v>389.10150677408745</v>
      </c>
      <c r="E26" s="33">
        <f t="shared" si="3"/>
        <v>0.30716723549488051</v>
      </c>
      <c r="F26" s="35">
        <f t="shared" si="4"/>
        <v>1.4090436255528584</v>
      </c>
      <c r="G26" s="25"/>
      <c r="H26" s="167">
        <f t="shared" si="5"/>
        <v>10</v>
      </c>
      <c r="I26" s="167">
        <f t="shared" si="6"/>
        <v>2160</v>
      </c>
      <c r="J26" s="36">
        <f t="shared" si="7"/>
        <v>46.746656537760096</v>
      </c>
      <c r="K26" s="37">
        <f t="shared" si="8"/>
        <v>379.22221358855847</v>
      </c>
      <c r="L26" s="33">
        <f t="shared" si="9"/>
        <v>0.31155721253809876</v>
      </c>
      <c r="M26" s="33">
        <f t="shared" si="10"/>
        <v>0.34271293379190865</v>
      </c>
      <c r="N26" s="33">
        <f t="shared" si="11"/>
        <v>0.28040149128428887</v>
      </c>
      <c r="O26" s="26"/>
      <c r="P26" s="26"/>
      <c r="Q26" s="38"/>
      <c r="R26" s="38"/>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row>
    <row r="27" spans="1:253">
      <c r="A27" s="24">
        <f t="shared" si="1"/>
        <v>11</v>
      </c>
      <c r="B27" s="29">
        <f t="shared" si="2"/>
        <v>2400</v>
      </c>
      <c r="C27" s="166">
        <v>67.400000000000006</v>
      </c>
      <c r="D27" s="32">
        <f t="shared" si="0"/>
        <v>424.7610819194274</v>
      </c>
      <c r="E27" s="33">
        <f t="shared" si="3"/>
        <v>0.28281117696867064</v>
      </c>
      <c r="F27" s="35">
        <f t="shared" si="4"/>
        <v>4.93503718708401</v>
      </c>
      <c r="G27" s="25"/>
      <c r="H27" s="167">
        <f t="shared" si="5"/>
        <v>11</v>
      </c>
      <c r="I27" s="167">
        <f t="shared" si="6"/>
        <v>2400</v>
      </c>
      <c r="J27" s="36">
        <f t="shared" si="7"/>
        <v>63.083479927397384</v>
      </c>
      <c r="K27" s="37">
        <f t="shared" si="8"/>
        <v>416.375522596319</v>
      </c>
      <c r="L27" s="33">
        <f t="shared" si="9"/>
        <v>0.2974925446772978</v>
      </c>
      <c r="M27" s="33">
        <f t="shared" si="10"/>
        <v>0.3272417991450276</v>
      </c>
      <c r="N27" s="33">
        <f t="shared" si="11"/>
        <v>0.267743290209568</v>
      </c>
      <c r="O27" s="26"/>
      <c r="P27" s="26"/>
      <c r="Q27" s="38"/>
      <c r="R27" s="38"/>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row>
    <row r="28" spans="1:253">
      <c r="A28" s="24">
        <f t="shared" si="1"/>
        <v>12</v>
      </c>
      <c r="B28" s="29">
        <f t="shared" si="2"/>
        <v>2640</v>
      </c>
      <c r="C28" s="166">
        <v>88.6</v>
      </c>
      <c r="D28" s="32">
        <f t="shared" si="0"/>
        <v>460.27990937211291</v>
      </c>
      <c r="E28" s="33">
        <f t="shared" si="3"/>
        <v>0.27179487179487166</v>
      </c>
      <c r="F28" s="35">
        <f t="shared" si="4"/>
        <v>5.0385059029578541</v>
      </c>
      <c r="G28" s="25"/>
      <c r="H28" s="167">
        <f t="shared" si="5"/>
        <v>12</v>
      </c>
      <c r="I28" s="167">
        <f t="shared" si="6"/>
        <v>2640</v>
      </c>
      <c r="J28" s="36">
        <f t="shared" si="7"/>
        <v>84.15438749955716</v>
      </c>
      <c r="K28" s="37">
        <f t="shared" si="8"/>
        <v>453.52883160407953</v>
      </c>
      <c r="L28" s="33">
        <f t="shared" si="9"/>
        <v>0.28621587558123468</v>
      </c>
      <c r="M28" s="33">
        <f t="shared" si="10"/>
        <v>0.31483746313935812</v>
      </c>
      <c r="N28" s="33">
        <f t="shared" si="11"/>
        <v>0.25759428802311124</v>
      </c>
      <c r="O28" s="26"/>
      <c r="P28" s="26"/>
      <c r="Q28" s="38"/>
      <c r="R28" s="38"/>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row>
    <row r="29" spans="1:253">
      <c r="A29" s="24">
        <f t="shared" si="1"/>
        <v>13</v>
      </c>
      <c r="B29" s="29">
        <f t="shared" si="2"/>
        <v>2880</v>
      </c>
      <c r="C29" s="166">
        <v>116</v>
      </c>
      <c r="D29" s="32">
        <f t="shared" si="0"/>
        <v>496.36920568226429</v>
      </c>
      <c r="E29" s="33">
        <f t="shared" si="3"/>
        <v>0.26783968719452594</v>
      </c>
      <c r="F29" s="35">
        <f t="shared" si="4"/>
        <v>3.338147191132713</v>
      </c>
      <c r="G29" s="25"/>
      <c r="H29" s="167">
        <f t="shared" si="5"/>
        <v>13</v>
      </c>
      <c r="I29" s="167">
        <f t="shared" si="6"/>
        <v>2880</v>
      </c>
      <c r="J29" s="36">
        <f t="shared" si="7"/>
        <v>111.22286406103399</v>
      </c>
      <c r="K29" s="37">
        <f t="shared" si="8"/>
        <v>490.68214061184005</v>
      </c>
      <c r="L29" s="33">
        <f t="shared" si="9"/>
        <v>0.27708933711847455</v>
      </c>
      <c r="M29" s="33">
        <f t="shared" si="10"/>
        <v>0.30479827083032202</v>
      </c>
      <c r="N29" s="33">
        <f t="shared" si="11"/>
        <v>0.24938040340662709</v>
      </c>
      <c r="O29" s="26"/>
      <c r="P29" s="26"/>
      <c r="Q29" s="38"/>
      <c r="R29" s="38"/>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row>
    <row r="30" spans="1:253">
      <c r="A30" s="24">
        <f t="shared" si="1"/>
        <v>14</v>
      </c>
      <c r="B30" s="29">
        <f t="shared" si="2"/>
        <v>3120</v>
      </c>
      <c r="C30" s="166">
        <v>151</v>
      </c>
      <c r="D30" s="32">
        <f t="shared" si="0"/>
        <v>532.62179094784142</v>
      </c>
      <c r="E30" s="33">
        <f t="shared" si="3"/>
        <v>0.26217228464419473</v>
      </c>
      <c r="F30" s="35">
        <f t="shared" si="4"/>
        <v>2.7740027671835397</v>
      </c>
      <c r="G30" s="25"/>
      <c r="H30" s="167">
        <f t="shared" si="5"/>
        <v>14</v>
      </c>
      <c r="I30" s="167">
        <f t="shared" si="6"/>
        <v>3120</v>
      </c>
      <c r="J30" s="36">
        <f t="shared" si="7"/>
        <v>145.88817500555263</v>
      </c>
      <c r="K30" s="37">
        <f t="shared" si="8"/>
        <v>527.83544961960058</v>
      </c>
      <c r="L30" s="33">
        <f t="shared" si="9"/>
        <v>0.26965245109947233</v>
      </c>
      <c r="M30" s="33">
        <f t="shared" si="10"/>
        <v>0.29661769620941958</v>
      </c>
      <c r="N30" s="33">
        <f t="shared" si="11"/>
        <v>0.24268720598952509</v>
      </c>
      <c r="O30" s="26"/>
      <c r="P30" s="26"/>
      <c r="Q30" s="38"/>
      <c r="R30" s="38"/>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row>
    <row r="31" spans="1:253">
      <c r="A31" s="24">
        <f t="shared" si="1"/>
        <v>15</v>
      </c>
      <c r="B31" s="29">
        <f t="shared" si="2"/>
        <v>3360</v>
      </c>
      <c r="C31" s="166">
        <v>194</v>
      </c>
      <c r="D31" s="32">
        <f t="shared" si="0"/>
        <v>567.82763058041951</v>
      </c>
      <c r="E31" s="33">
        <f t="shared" si="3"/>
        <v>0.24927536231884059</v>
      </c>
      <c r="F31" s="35">
        <f t="shared" si="4"/>
        <v>5.4216521193194716</v>
      </c>
      <c r="G31" s="25"/>
      <c r="H31" s="167">
        <f t="shared" si="5"/>
        <v>15</v>
      </c>
      <c r="I31" s="167">
        <f t="shared" si="6"/>
        <v>3360</v>
      </c>
      <c r="J31" s="36">
        <f t="shared" si="7"/>
        <v>190.17547183729008</v>
      </c>
      <c r="K31" s="37">
        <f t="shared" si="8"/>
        <v>564.98875862736111</v>
      </c>
      <c r="L31" s="33">
        <f t="shared" si="9"/>
        <v>0.26356493627201533</v>
      </c>
      <c r="M31" s="33">
        <f t="shared" si="10"/>
        <v>0.28992142989921688</v>
      </c>
      <c r="N31" s="33">
        <f t="shared" si="11"/>
        <v>0.23720844264481378</v>
      </c>
      <c r="O31" s="26"/>
      <c r="P31" s="26"/>
      <c r="Q31" s="38"/>
      <c r="R31" s="38"/>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row>
    <row r="32" spans="1:253">
      <c r="A32" s="24">
        <f t="shared" si="1"/>
        <v>16</v>
      </c>
      <c r="B32" s="29">
        <f t="shared" si="2"/>
        <v>3600</v>
      </c>
      <c r="C32" s="166">
        <v>248</v>
      </c>
      <c r="D32" s="32">
        <f t="shared" si="0"/>
        <v>602.95381308747051</v>
      </c>
      <c r="E32" s="33">
        <f t="shared" si="3"/>
        <v>0.24434389140271492</v>
      </c>
      <c r="F32" s="35">
        <f t="shared" si="4"/>
        <v>5.5019077095822455</v>
      </c>
      <c r="G32" s="25"/>
      <c r="H32" s="167">
        <f t="shared" si="5"/>
        <v>16</v>
      </c>
      <c r="I32" s="167">
        <f t="shared" si="6"/>
        <v>3600</v>
      </c>
      <c r="J32" s="36">
        <f t="shared" si="7"/>
        <v>246.65056645286157</v>
      </c>
      <c r="K32" s="37">
        <f t="shared" si="8"/>
        <v>602.14206763512163</v>
      </c>
      <c r="L32" s="33">
        <f t="shared" si="9"/>
        <v>0.25857018430782835</v>
      </c>
      <c r="M32" s="33">
        <f t="shared" si="10"/>
        <v>0.28442720273861122</v>
      </c>
      <c r="N32" s="33">
        <f t="shared" si="11"/>
        <v>0.23271316587704552</v>
      </c>
      <c r="O32" s="26"/>
      <c r="P32" s="26"/>
      <c r="Q32" s="38"/>
      <c r="R32" s="38"/>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row>
    <row r="33" spans="1:251">
      <c r="A33" s="24">
        <f t="shared" si="1"/>
        <v>17</v>
      </c>
      <c r="B33" s="29">
        <f t="shared" si="2"/>
        <v>3840</v>
      </c>
      <c r="C33" s="166">
        <v>317</v>
      </c>
      <c r="D33" s="32">
        <f t="shared" si="0"/>
        <v>638.60045564891732</v>
      </c>
      <c r="E33" s="33">
        <f t="shared" si="3"/>
        <v>0.24424778761061947</v>
      </c>
      <c r="F33" s="35">
        <f t="shared" si="4"/>
        <v>4.017518107133057</v>
      </c>
      <c r="G33" s="25"/>
      <c r="H33" s="167">
        <f t="shared" si="5"/>
        <v>17</v>
      </c>
      <c r="I33" s="167">
        <f t="shared" si="6"/>
        <v>3840</v>
      </c>
      <c r="J33" s="36">
        <f t="shared" si="7"/>
        <v>318.56627450838988</v>
      </c>
      <c r="K33" s="37">
        <f t="shared" si="8"/>
        <v>639.29537664288227</v>
      </c>
      <c r="L33" s="33">
        <f t="shared" si="9"/>
        <v>0.25447121474025047</v>
      </c>
      <c r="M33" s="33">
        <f t="shared" si="10"/>
        <v>0.27991833621427553</v>
      </c>
      <c r="N33" s="33">
        <f t="shared" si="11"/>
        <v>0.22902409326622541</v>
      </c>
      <c r="O33" s="26"/>
      <c r="P33" s="26"/>
      <c r="Q33" s="38"/>
      <c r="R33" s="38"/>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row>
    <row r="34" spans="1:251">
      <c r="A34" s="24">
        <f t="shared" si="1"/>
        <v>18</v>
      </c>
      <c r="B34" s="29">
        <f t="shared" si="2"/>
        <v>4080</v>
      </c>
      <c r="C34" s="166">
        <v>410</v>
      </c>
      <c r="D34" s="32">
        <f t="shared" si="0"/>
        <v>676.4486856506428</v>
      </c>
      <c r="E34" s="33">
        <f t="shared" si="3"/>
        <v>0.25584594222833562</v>
      </c>
      <c r="F34" s="35">
        <f t="shared" si="4"/>
        <v>1.9321502952929392</v>
      </c>
      <c r="G34" s="25"/>
      <c r="H34" s="167">
        <f t="shared" si="5"/>
        <v>18</v>
      </c>
      <c r="I34" s="167">
        <f t="shared" si="6"/>
        <v>4080</v>
      </c>
      <c r="J34" s="34">
        <f>IF(C34="","",C34)</f>
        <v>410</v>
      </c>
      <c r="K34" s="37">
        <f>IF(C34="","",(71.498068+94.593053*LOG(J34,10)+41.912053*POWER(LOG(J34,10),2)+9.8247004*POWER(LOG(J34,10),3)+0.28175407*POWER(LOG(J34,10),4)-1.1878455*POWER(LOG(J34,10),5)-0.18014349*POWER(LOG(J34,10),6)+0.14710899*POWER(LOG(J34,10),7)-0.017046845*POWER(LOG(J34,10),8)))</f>
        <v>676.4486856506428</v>
      </c>
      <c r="L34" s="33">
        <f t="shared" si="9"/>
        <v>0.25099631616439094</v>
      </c>
      <c r="M34" s="33">
        <f t="shared" si="10"/>
        <v>0.27609594778083002</v>
      </c>
      <c r="N34" s="33">
        <f t="shared" si="11"/>
        <v>0.22589668454795184</v>
      </c>
      <c r="O34" s="26"/>
      <c r="P34" s="26"/>
      <c r="Q34" s="38"/>
      <c r="R34" s="38"/>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row>
    <row r="35" spans="1:251">
      <c r="A35" s="24"/>
      <c r="B35" s="29"/>
      <c r="C35" s="39"/>
      <c r="D35" s="32"/>
      <c r="E35" s="24"/>
      <c r="F35" s="33"/>
      <c r="G35" s="35"/>
      <c r="H35" s="25"/>
      <c r="I35" s="24"/>
      <c r="J35" s="24"/>
      <c r="K35" s="34"/>
      <c r="L35" s="33"/>
      <c r="M35" s="33"/>
      <c r="N35" s="33"/>
      <c r="O35" s="33"/>
      <c r="P35" s="26"/>
      <c r="Q35" s="38"/>
      <c r="R35" s="38"/>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row>
    <row r="36" spans="1:251">
      <c r="K36" s="40"/>
      <c r="N36" s="41"/>
      <c r="O36" s="15"/>
    </row>
    <row r="37" spans="1:251" ht="15">
      <c r="A37" s="42" t="s">
        <v>12</v>
      </c>
      <c r="K37" s="41" t="s">
        <v>13</v>
      </c>
      <c r="L37" s="43"/>
      <c r="N37" s="41"/>
      <c r="O37" s="15"/>
    </row>
    <row r="38" spans="1:251">
      <c r="J38" s="44" t="s">
        <v>14</v>
      </c>
      <c r="K38" s="43">
        <f>IF(C34="","",(K34-K17)/I34)</f>
        <v>0.15480545419900224</v>
      </c>
      <c r="N38" s="41"/>
      <c r="O38" s="15"/>
    </row>
    <row r="39" spans="1:251">
      <c r="J39" s="44" t="s">
        <v>15</v>
      </c>
      <c r="K39" s="41">
        <f>IF(C17="","",K17)</f>
        <v>44.842432518713593</v>
      </c>
      <c r="L39" s="43"/>
      <c r="N39" s="41"/>
      <c r="O39" s="15"/>
    </row>
    <row r="40" spans="1:251">
      <c r="L40" s="15"/>
      <c r="N40" s="41"/>
      <c r="O40" s="15"/>
    </row>
    <row r="41" spans="1:251">
      <c r="J41" s="40"/>
      <c r="M41" s="41"/>
      <c r="N41" s="15"/>
    </row>
    <row r="64" spans="1:1" ht="15">
      <c r="A64" s="42" t="s">
        <v>16</v>
      </c>
    </row>
  </sheetData>
  <mergeCells count="5">
    <mergeCell ref="A6:B6"/>
    <mergeCell ref="I3:J4"/>
    <mergeCell ref="C4:D4"/>
    <mergeCell ref="K5:L5"/>
    <mergeCell ref="I5:J5"/>
  </mergeCells>
  <conditionalFormatting sqref="K5">
    <cfRule type="containsText" dxfId="43" priority="3" operator="containsText" text="Pass">
      <formula>NOT(ISERROR(SEARCH("Pass",K5)))</formula>
    </cfRule>
    <cfRule type="containsText" dxfId="42" priority="4" operator="containsText" text="Fail">
      <formula>NOT(ISERROR(SEARCH("Fail",K5)))</formula>
    </cfRule>
  </conditionalFormatting>
  <dataValidations count="1">
    <dataValidation type="list" allowBlank="1" showInputMessage="1" showErrorMessage="1" sqref="C4:D4">
      <formula1>"Mammografie, Diagnostisch, Review,"</formula1>
    </dataValidation>
  </dataValidations>
  <pageMargins left="0.75" right="0.75" top="0.47" bottom="0.49" header="0.5" footer="0.5"/>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7"/>
  <sheetViews>
    <sheetView workbookViewId="0">
      <selection activeCell="C7" sqref="C7"/>
    </sheetView>
  </sheetViews>
  <sheetFormatPr defaultColWidth="10.85546875" defaultRowHeight="12.75"/>
  <cols>
    <col min="1" max="1" width="10.85546875" style="53"/>
    <col min="2" max="2" width="12.42578125" style="53" bestFit="1" customWidth="1"/>
    <col min="3" max="3" width="13.140625" style="53" customWidth="1"/>
    <col min="4" max="6" width="10.85546875" style="53"/>
    <col min="7" max="7" width="12.42578125" style="53" bestFit="1" customWidth="1"/>
    <col min="8" max="8" width="13.7109375" style="53" bestFit="1" customWidth="1"/>
    <col min="9" max="16384" width="10.85546875" style="53"/>
  </cols>
  <sheetData>
    <row r="1" spans="1:251" s="3" customFormat="1" ht="29.1" customHeight="1">
      <c r="A1" s="1" t="s">
        <v>117</v>
      </c>
      <c r="B1" s="2"/>
      <c r="C1" s="2"/>
      <c r="D1" s="2"/>
      <c r="E1" s="2"/>
      <c r="F1" s="2"/>
      <c r="G1" s="2"/>
      <c r="H1" s="2"/>
      <c r="I1" s="2"/>
      <c r="J1" s="2"/>
      <c r="K1" s="2"/>
    </row>
    <row r="2" spans="1:251" s="3" customFormat="1" ht="13.5" thickBot="1">
      <c r="A2" s="4"/>
    </row>
    <row r="3" spans="1:251" s="3" customFormat="1" ht="15.95" customHeight="1">
      <c r="A3" s="5" t="s">
        <v>18</v>
      </c>
      <c r="B3" s="6"/>
      <c r="C3" s="6"/>
      <c r="D3" s="6"/>
      <c r="H3" s="158" t="s">
        <v>21</v>
      </c>
      <c r="I3" s="159"/>
      <c r="J3" s="7"/>
      <c r="K3" s="8"/>
    </row>
    <row r="4" spans="1:251" s="3" customFormat="1" ht="12.95" customHeight="1">
      <c r="A4" s="9" t="s">
        <v>19</v>
      </c>
      <c r="B4" s="10"/>
      <c r="C4" s="177"/>
      <c r="D4" s="177"/>
      <c r="E4" s="10"/>
      <c r="F4" s="10"/>
      <c r="H4" s="160"/>
      <c r="I4" s="161"/>
      <c r="J4" s="11"/>
      <c r="K4" s="12"/>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row>
    <row r="5" spans="1:251" s="3" customFormat="1" ht="17.25" customHeight="1" thickBot="1">
      <c r="A5" s="9"/>
      <c r="B5" s="10"/>
      <c r="C5" s="10"/>
      <c r="D5" s="10"/>
      <c r="E5" s="10"/>
      <c r="F5" s="10"/>
      <c r="H5" s="162" t="s">
        <v>20</v>
      </c>
      <c r="I5" s="163"/>
      <c r="J5" s="197" t="str">
        <f>IF(B26="","?",IF(MAX(G14,G15,G23,G24)&gt;C6,"Fail","Pass"))</f>
        <v>?</v>
      </c>
      <c r="K5" s="198"/>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row>
    <row r="6" spans="1:251" s="3" customFormat="1" ht="15.95" customHeight="1">
      <c r="A6" s="196" t="s">
        <v>89</v>
      </c>
      <c r="B6" s="196"/>
      <c r="C6" s="112">
        <f>IF(C4="Diagnostisch",0.2,IF(C4="Diagnostisch secundair",0.25,IF(C4="Review",0.25,IF(C4="Mammografie",0.15,0))))</f>
        <v>0</v>
      </c>
      <c r="H6" s="53"/>
      <c r="I6" s="53"/>
      <c r="J6" s="53"/>
      <c r="K6" s="53"/>
    </row>
    <row r="8" spans="1:251" s="3" customFormat="1" ht="18" customHeight="1">
      <c r="A8" s="18" t="s">
        <v>37</v>
      </c>
      <c r="B8" s="19"/>
      <c r="C8" s="19"/>
      <c r="D8" s="19"/>
      <c r="E8" s="19"/>
      <c r="F8" s="19"/>
      <c r="G8" s="19"/>
      <c r="H8" s="20"/>
      <c r="I8" s="20"/>
      <c r="J8" s="20"/>
      <c r="K8" s="2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row>
    <row r="10" spans="1:251" s="90" customFormat="1" ht="15.75" customHeight="1">
      <c r="A10" s="110" t="s">
        <v>79</v>
      </c>
      <c r="B10" s="111"/>
      <c r="C10" s="111"/>
      <c r="D10" s="111"/>
      <c r="E10" s="46"/>
      <c r="F10" s="46"/>
      <c r="G10" s="46"/>
      <c r="H10" s="46"/>
      <c r="I10" s="46"/>
      <c r="J10" s="46"/>
      <c r="K10" s="46"/>
      <c r="L10" s="106"/>
      <c r="M10" s="106"/>
      <c r="N10" s="106"/>
      <c r="P10" s="91"/>
      <c r="Q10" s="92"/>
    </row>
    <row r="11" spans="1:251" s="90" customFormat="1">
      <c r="A11" s="46"/>
      <c r="B11" s="207"/>
      <c r="C11" s="207"/>
      <c r="D11" s="46"/>
      <c r="E11" s="46"/>
      <c r="F11" s="46"/>
      <c r="G11" s="46"/>
      <c r="H11" s="46"/>
      <c r="I11" s="46"/>
      <c r="J11" s="46"/>
      <c r="K11" s="46"/>
      <c r="L11" s="46"/>
      <c r="M11" s="46"/>
      <c r="N11" s="93"/>
      <c r="O11" s="92"/>
      <c r="P11" s="94"/>
      <c r="Q11" s="94"/>
    </row>
    <row r="12" spans="1:251" s="90" customFormat="1">
      <c r="A12" s="46"/>
      <c r="B12" s="95" t="s">
        <v>45</v>
      </c>
      <c r="C12" s="59"/>
      <c r="E12" s="114" t="s">
        <v>21</v>
      </c>
      <c r="F12" s="11"/>
      <c r="G12" s="11"/>
      <c r="H12" s="11"/>
      <c r="I12" s="96"/>
      <c r="K12" s="96"/>
      <c r="M12" s="46"/>
      <c r="N12" s="97"/>
    </row>
    <row r="13" spans="1:251" s="90" customFormat="1" ht="15.75">
      <c r="A13" s="46" t="s">
        <v>80</v>
      </c>
      <c r="B13" s="98"/>
      <c r="C13" s="46" t="s">
        <v>81</v>
      </c>
      <c r="E13" s="59"/>
      <c r="F13" s="59"/>
      <c r="G13" s="95" t="s">
        <v>45</v>
      </c>
      <c r="H13" s="96"/>
      <c r="I13" s="100"/>
      <c r="K13" s="100"/>
      <c r="M13" s="101"/>
      <c r="N13" s="102"/>
      <c r="O13" s="103"/>
      <c r="P13" s="103"/>
      <c r="Q13" s="103"/>
    </row>
    <row r="14" spans="1:251" s="90" customFormat="1" ht="12.75" customHeight="1">
      <c r="A14" s="46" t="s">
        <v>83</v>
      </c>
      <c r="B14" s="98"/>
      <c r="C14" s="46" t="s">
        <v>81</v>
      </c>
      <c r="E14" s="99" t="s">
        <v>82</v>
      </c>
      <c r="F14" s="46"/>
      <c r="G14" s="113" t="str">
        <f>IF(B17="","",(MAX(B13:B17)-MIN(B13:B17))/(0.5*(MAX(B13:B17)+MIN(B13:B17))))</f>
        <v/>
      </c>
      <c r="H14" s="113"/>
      <c r="I14" s="100"/>
      <c r="K14" s="100"/>
      <c r="M14" s="104"/>
      <c r="N14" s="102"/>
      <c r="O14" s="103"/>
      <c r="P14" s="103"/>
      <c r="Q14" s="103"/>
    </row>
    <row r="15" spans="1:251" s="90" customFormat="1">
      <c r="A15" s="46" t="s">
        <v>85</v>
      </c>
      <c r="B15" s="98"/>
      <c r="C15" s="46" t="s">
        <v>81</v>
      </c>
      <c r="E15" s="99" t="s">
        <v>84</v>
      </c>
      <c r="F15" s="46"/>
      <c r="G15" s="113" t="str">
        <f>IF(B17="","",(MAX(B13:B14,B16:B17)-MIN(B13:B14,B16:B17))/(0.5*(MAX(B13:B14,B16:B17)+MIN(B13:B14,B16:B17))))</f>
        <v/>
      </c>
      <c r="H15" s="113"/>
      <c r="I15" s="46"/>
      <c r="J15" s="46"/>
      <c r="K15" s="46"/>
      <c r="M15" s="46"/>
      <c r="N15" s="102"/>
      <c r="O15" s="103"/>
      <c r="P15" s="103"/>
      <c r="Q15" s="103"/>
    </row>
    <row r="16" spans="1:251" s="90" customFormat="1">
      <c r="A16" s="46" t="s">
        <v>86</v>
      </c>
      <c r="B16" s="98"/>
      <c r="C16" s="46" t="s">
        <v>81</v>
      </c>
      <c r="E16" s="46"/>
      <c r="F16" s="46"/>
      <c r="G16" s="46"/>
      <c r="H16" s="46"/>
      <c r="I16" s="46"/>
      <c r="J16" s="46"/>
      <c r="K16" s="46"/>
      <c r="M16" s="46"/>
      <c r="N16" s="102"/>
      <c r="O16" s="103"/>
      <c r="P16" s="103"/>
      <c r="Q16" s="103"/>
    </row>
    <row r="17" spans="1:17" s="90" customFormat="1">
      <c r="A17" s="46" t="s">
        <v>87</v>
      </c>
      <c r="B17" s="98"/>
      <c r="C17" s="46" t="s">
        <v>81</v>
      </c>
      <c r="E17" s="46"/>
      <c r="F17" s="46"/>
      <c r="G17" s="46"/>
      <c r="H17" s="46"/>
      <c r="I17" s="46"/>
      <c r="J17" s="46"/>
      <c r="K17" s="46"/>
      <c r="M17" s="46"/>
      <c r="N17" s="102"/>
      <c r="O17" s="103"/>
      <c r="P17" s="103"/>
      <c r="Q17" s="103"/>
    </row>
    <row r="18" spans="1:17" s="90" customFormat="1">
      <c r="A18" s="46"/>
      <c r="B18" s="46"/>
      <c r="C18" s="46"/>
      <c r="D18" s="46"/>
      <c r="E18" s="46"/>
      <c r="F18" s="46"/>
      <c r="G18" s="46"/>
      <c r="H18" s="46"/>
      <c r="I18" s="46"/>
      <c r="J18" s="46"/>
      <c r="K18" s="46"/>
      <c r="M18" s="46"/>
      <c r="N18" s="102"/>
      <c r="O18" s="103"/>
      <c r="P18" s="103"/>
      <c r="Q18" s="103"/>
    </row>
    <row r="19" spans="1:17" s="106" customFormat="1" ht="15.75" customHeight="1">
      <c r="A19" s="115" t="s">
        <v>88</v>
      </c>
      <c r="B19" s="116"/>
      <c r="C19" s="116"/>
      <c r="D19" s="116"/>
      <c r="E19" s="46"/>
      <c r="F19" s="46"/>
      <c r="G19" s="46"/>
      <c r="H19" s="46"/>
      <c r="I19" s="46"/>
      <c r="J19" s="46"/>
      <c r="K19" s="46"/>
      <c r="O19" s="105"/>
      <c r="P19" s="105"/>
      <c r="Q19" s="105"/>
    </row>
    <row r="20" spans="1:17" s="90" customFormat="1" ht="12.75" customHeight="1">
      <c r="A20" s="46"/>
      <c r="B20" s="207"/>
      <c r="C20" s="207"/>
      <c r="D20" s="46"/>
      <c r="E20" s="46"/>
      <c r="F20" s="46"/>
      <c r="G20" s="46"/>
      <c r="H20" s="46"/>
      <c r="I20" s="46"/>
      <c r="J20" s="46"/>
      <c r="K20" s="46"/>
      <c r="M20" s="46"/>
      <c r="N20" s="102"/>
      <c r="O20" s="103"/>
      <c r="P20" s="103"/>
      <c r="Q20" s="103"/>
    </row>
    <row r="21" spans="1:17" s="90" customFormat="1" ht="12.75" customHeight="1">
      <c r="A21" s="46"/>
      <c r="B21" s="95" t="s">
        <v>45</v>
      </c>
      <c r="C21" s="59"/>
      <c r="E21" s="114" t="s">
        <v>21</v>
      </c>
      <c r="F21" s="114"/>
      <c r="G21" s="114"/>
      <c r="H21" s="114"/>
      <c r="I21" s="96"/>
      <c r="K21" s="96"/>
      <c r="M21" s="59"/>
      <c r="N21" s="102"/>
      <c r="O21" s="103"/>
      <c r="P21" s="103"/>
      <c r="Q21" s="103"/>
    </row>
    <row r="22" spans="1:17" s="90" customFormat="1" ht="12.75" customHeight="1">
      <c r="A22" s="46" t="s">
        <v>80</v>
      </c>
      <c r="B22" s="98"/>
      <c r="C22" s="46" t="s">
        <v>81</v>
      </c>
      <c r="E22" s="59"/>
      <c r="F22" s="59"/>
      <c r="G22" s="95" t="s">
        <v>45</v>
      </c>
      <c r="H22" s="96"/>
      <c r="I22" s="100"/>
      <c r="K22" s="100"/>
      <c r="M22" s="46"/>
      <c r="N22" s="102"/>
      <c r="O22" s="103"/>
      <c r="P22" s="103"/>
      <c r="Q22" s="103"/>
    </row>
    <row r="23" spans="1:17" s="107" customFormat="1" ht="12.75" customHeight="1">
      <c r="A23" s="46" t="s">
        <v>83</v>
      </c>
      <c r="B23" s="98"/>
      <c r="C23" s="46" t="s">
        <v>81</v>
      </c>
      <c r="E23" s="99" t="s">
        <v>82</v>
      </c>
      <c r="F23" s="46"/>
      <c r="G23" s="113" t="str">
        <f>IF(B26="","",(MAX(B22:B26)-MIN(B22:B26))/(0.5*(MAX(B22:B26)+MIN(B22:B26))))</f>
        <v/>
      </c>
      <c r="H23" s="113"/>
      <c r="I23" s="100"/>
      <c r="K23" s="100"/>
      <c r="M23" s="46"/>
      <c r="N23" s="102"/>
      <c r="O23" s="103"/>
      <c r="P23" s="103"/>
      <c r="Q23" s="103"/>
    </row>
    <row r="24" spans="1:17" s="90" customFormat="1">
      <c r="A24" s="46" t="s">
        <v>85</v>
      </c>
      <c r="B24" s="98"/>
      <c r="C24" s="46" t="s">
        <v>81</v>
      </c>
      <c r="E24" s="99" t="s">
        <v>84</v>
      </c>
      <c r="F24" s="46"/>
      <c r="G24" s="113" t="str">
        <f>IF(B26="","",(MAX(B22:B23,B25:B26)-MIN(B22:B23,B25:B26))/(0.5*(MAX(B22:B23,B25:B26)+MIN(B22:B23,B25:B26))))</f>
        <v/>
      </c>
      <c r="H24" s="113"/>
      <c r="I24" s="46"/>
      <c r="J24" s="46"/>
      <c r="K24" s="46"/>
      <c r="L24" s="46"/>
      <c r="M24" s="46"/>
      <c r="N24" s="102"/>
      <c r="O24" s="103"/>
      <c r="P24" s="103"/>
      <c r="Q24" s="103"/>
    </row>
    <row r="25" spans="1:17" s="90" customFormat="1">
      <c r="A25" s="46" t="s">
        <v>86</v>
      </c>
      <c r="B25" s="98"/>
      <c r="C25" s="46" t="s">
        <v>81</v>
      </c>
      <c r="E25" s="46"/>
      <c r="F25" s="46"/>
      <c r="G25" s="46"/>
      <c r="H25" s="46"/>
      <c r="I25" s="46"/>
      <c r="J25" s="46"/>
      <c r="K25" s="46"/>
      <c r="L25" s="46"/>
      <c r="M25" s="46"/>
      <c r="N25" s="102"/>
      <c r="O25" s="103"/>
      <c r="P25" s="103"/>
      <c r="Q25" s="103"/>
    </row>
    <row r="26" spans="1:17" s="90" customFormat="1" ht="12.75" customHeight="1">
      <c r="A26" s="46" t="s">
        <v>87</v>
      </c>
      <c r="B26" s="98"/>
      <c r="C26" s="46" t="s">
        <v>81</v>
      </c>
      <c r="E26" s="46"/>
      <c r="F26" s="46"/>
      <c r="G26" s="46"/>
      <c r="H26" s="46"/>
      <c r="I26" s="46"/>
      <c r="J26" s="46"/>
      <c r="K26" s="46"/>
      <c r="L26" s="46"/>
      <c r="M26" s="46"/>
      <c r="N26" s="102"/>
      <c r="O26" s="103"/>
      <c r="P26" s="103"/>
      <c r="Q26" s="103"/>
    </row>
    <row r="27" spans="1:17" s="90" customFormat="1" ht="19.5" customHeight="1">
      <c r="A27" s="108"/>
      <c r="B27" s="109"/>
      <c r="C27" s="109"/>
      <c r="D27" s="109"/>
      <c r="E27" s="109"/>
      <c r="F27" s="109"/>
      <c r="G27" s="109"/>
      <c r="H27" s="109"/>
      <c r="I27" s="109"/>
      <c r="J27" s="109"/>
      <c r="K27" s="109"/>
      <c r="L27" s="109"/>
      <c r="M27" s="109"/>
      <c r="N27" s="46"/>
    </row>
  </sheetData>
  <mergeCells count="5">
    <mergeCell ref="B11:C11"/>
    <mergeCell ref="B20:C20"/>
    <mergeCell ref="J5:K5"/>
    <mergeCell ref="C4:D4"/>
    <mergeCell ref="A6:B6"/>
  </mergeCells>
  <conditionalFormatting sqref="K13:K14 I13:I14 K22:K23 I22:I23">
    <cfRule type="cellIs" dxfId="41" priority="15" stopIfTrue="1" operator="equal">
      <formula>"pass"</formula>
    </cfRule>
    <cfRule type="cellIs" dxfId="40" priority="16" stopIfTrue="1" operator="equal">
      <formula>"false"</formula>
    </cfRule>
  </conditionalFormatting>
  <conditionalFormatting sqref="G14:H15 G23:H24">
    <cfRule type="cellIs" dxfId="39" priority="14" operator="greaterThan">
      <formula>$C$6</formula>
    </cfRule>
  </conditionalFormatting>
  <conditionalFormatting sqref="J5">
    <cfRule type="containsText" dxfId="38" priority="5" operator="containsText" text="Pass">
      <formula>NOT(ISERROR(SEARCH("Pass",J5)))</formula>
    </cfRule>
    <cfRule type="containsText" dxfId="37" priority="6" operator="containsText" text="Fail">
      <formula>NOT(ISERROR(SEARCH("Fail",J5)))</formula>
    </cfRule>
  </conditionalFormatting>
  <dataValidations count="1">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2"/>
  <sheetViews>
    <sheetView topLeftCell="A3" workbookViewId="0">
      <selection activeCell="C4" sqref="C4:D4"/>
    </sheetView>
  </sheetViews>
  <sheetFormatPr defaultColWidth="10.85546875" defaultRowHeight="12.75"/>
  <cols>
    <col min="1" max="16384" width="10.85546875" style="53"/>
  </cols>
  <sheetData>
    <row r="1" spans="1:251" s="3" customFormat="1" ht="29.1" customHeight="1">
      <c r="A1" s="1" t="s">
        <v>118</v>
      </c>
      <c r="B1" s="2"/>
      <c r="C1" s="2"/>
      <c r="D1" s="2"/>
      <c r="E1" s="2"/>
      <c r="F1" s="2"/>
      <c r="G1" s="2"/>
      <c r="H1" s="2"/>
      <c r="I1" s="2"/>
      <c r="J1" s="2"/>
      <c r="K1" s="2"/>
    </row>
    <row r="2" spans="1:251" s="3" customFormat="1" ht="13.5" thickBot="1">
      <c r="A2" s="4"/>
    </row>
    <row r="3" spans="1:251" s="3" customFormat="1" ht="15.95" customHeight="1">
      <c r="A3" s="5" t="s">
        <v>18</v>
      </c>
      <c r="B3" s="6"/>
      <c r="C3" s="6"/>
      <c r="D3" s="6"/>
      <c r="I3" s="188" t="s">
        <v>21</v>
      </c>
      <c r="J3" s="189"/>
    </row>
    <row r="4" spans="1:251" s="3" customFormat="1">
      <c r="A4" s="9" t="s">
        <v>19</v>
      </c>
      <c r="B4" s="10"/>
      <c r="C4" s="177"/>
      <c r="D4" s="177"/>
      <c r="E4" s="10"/>
      <c r="F4" s="10"/>
      <c r="I4" s="190"/>
      <c r="J4" s="191"/>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row>
    <row r="5" spans="1:251" s="3" customFormat="1" ht="12.95" customHeight="1">
      <c r="A5" s="9"/>
      <c r="B5" s="10"/>
      <c r="C5" s="10"/>
      <c r="D5" s="10"/>
      <c r="E5" s="10"/>
      <c r="F5" s="10"/>
      <c r="I5" s="192" t="str">
        <f>IF(H12="&lt;&lt; kies &gt;&gt;","?",IF(H13="&lt;&lt; kies &gt;&gt;","?",IF(H14="&lt;&lt; kies &gt;&gt;","?",IF(H20="Ja",H16,IF(H20="Nee",H22,H16)))))</f>
        <v>?</v>
      </c>
      <c r="J5" s="193"/>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row>
    <row r="6" spans="1:251" s="3" customFormat="1" ht="15.95" customHeight="1" thickBot="1">
      <c r="A6" s="196" t="s">
        <v>38</v>
      </c>
      <c r="B6" s="196"/>
      <c r="C6" s="3" t="s">
        <v>77</v>
      </c>
      <c r="I6" s="194"/>
      <c r="J6" s="195"/>
    </row>
    <row r="8" spans="1:251" s="3" customFormat="1" ht="18" customHeight="1">
      <c r="A8" s="18" t="s">
        <v>37</v>
      </c>
      <c r="B8" s="19"/>
      <c r="C8" s="19"/>
      <c r="D8" s="19"/>
      <c r="E8" s="19"/>
      <c r="F8" s="19"/>
      <c r="G8" s="19"/>
      <c r="H8" s="20"/>
      <c r="I8" s="20"/>
      <c r="J8" s="20"/>
      <c r="K8" s="2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row>
    <row r="10" spans="1:251" ht="15">
      <c r="A10" s="210" t="s">
        <v>73</v>
      </c>
      <c r="B10" s="210"/>
      <c r="C10" s="210"/>
      <c r="D10" s="210"/>
      <c r="E10" s="210"/>
      <c r="F10" s="210"/>
      <c r="G10" s="210"/>
      <c r="H10" s="210"/>
      <c r="I10" s="210"/>
      <c r="J10" s="210"/>
      <c r="K10" s="210"/>
      <c r="L10" s="3"/>
      <c r="M10" s="3"/>
      <c r="N10" s="3"/>
    </row>
    <row r="11" spans="1:251" ht="14.25">
      <c r="A11" s="83" t="s">
        <v>27</v>
      </c>
      <c r="B11" s="83"/>
      <c r="C11" s="83"/>
      <c r="D11" s="3"/>
      <c r="E11" s="3"/>
      <c r="F11" s="3"/>
      <c r="G11" s="3"/>
      <c r="H11" s="84" t="s">
        <v>21</v>
      </c>
      <c r="I11" s="211" t="s">
        <v>28</v>
      </c>
      <c r="J11" s="211"/>
      <c r="K11" s="211"/>
      <c r="L11" s="3"/>
      <c r="M11" s="3"/>
      <c r="N11" s="3"/>
    </row>
    <row r="12" spans="1:251" ht="39.950000000000003" customHeight="1">
      <c r="A12" s="212" t="s">
        <v>154</v>
      </c>
      <c r="B12" s="212"/>
      <c r="C12" s="212"/>
      <c r="D12" s="212"/>
      <c r="E12" s="212"/>
      <c r="F12" s="212"/>
      <c r="G12" s="212"/>
      <c r="H12" s="54" t="s">
        <v>152</v>
      </c>
      <c r="I12" s="209"/>
      <c r="J12" s="209"/>
      <c r="K12" s="209"/>
      <c r="L12" s="88"/>
      <c r="M12" s="88"/>
      <c r="N12" s="88"/>
    </row>
    <row r="13" spans="1:251" ht="39.950000000000003" customHeight="1">
      <c r="A13" s="213" t="s">
        <v>155</v>
      </c>
      <c r="B13" s="213"/>
      <c r="C13" s="213"/>
      <c r="D13" s="213"/>
      <c r="E13" s="213"/>
      <c r="F13" s="213"/>
      <c r="G13" s="213"/>
      <c r="H13" s="54" t="s">
        <v>152</v>
      </c>
      <c r="I13" s="214"/>
      <c r="J13" s="214"/>
      <c r="K13" s="214"/>
      <c r="L13" s="214"/>
      <c r="M13" s="214"/>
      <c r="N13" s="214"/>
    </row>
    <row r="14" spans="1:251" ht="39.950000000000003" customHeight="1">
      <c r="A14" s="212" t="s">
        <v>74</v>
      </c>
      <c r="B14" s="212"/>
      <c r="C14" s="212"/>
      <c r="D14" s="212"/>
      <c r="E14" s="212"/>
      <c r="F14" s="212"/>
      <c r="G14" s="212"/>
      <c r="H14" s="54" t="s">
        <v>152</v>
      </c>
      <c r="I14" s="209"/>
      <c r="J14" s="209"/>
      <c r="K14" s="209"/>
      <c r="L14" s="88"/>
      <c r="M14" s="88"/>
      <c r="N14" s="88"/>
    </row>
    <row r="15" spans="1:251" ht="14.25">
      <c r="A15" s="169"/>
      <c r="B15" s="169"/>
      <c r="C15" s="169"/>
      <c r="D15" s="169"/>
      <c r="E15" s="169"/>
      <c r="F15" s="169"/>
      <c r="G15" s="169"/>
      <c r="H15" s="169"/>
      <c r="I15" s="169"/>
      <c r="J15" s="169"/>
      <c r="K15" s="169"/>
      <c r="L15" s="169"/>
      <c r="M15" s="169"/>
      <c r="N15" s="169"/>
    </row>
    <row r="16" spans="1:251" ht="15.75">
      <c r="A16" s="168"/>
      <c r="B16" s="168"/>
      <c r="C16" s="168"/>
      <c r="D16" s="168"/>
      <c r="E16" s="168"/>
      <c r="F16" s="208" t="s">
        <v>36</v>
      </c>
      <c r="G16" s="208"/>
      <c r="H16" s="85" t="str">
        <f>IF(H12="&lt;&lt; kies &gt;&gt;","?",IF(H13="&lt;&lt; kies &gt;&gt;","?",IF(H14="&lt;&lt; kies &gt;&gt;","?",IF(H12="Nee",IF(H13="Nee",IF(H14="Nee","Pass","Fail"),"Fail"),"Fail"))))</f>
        <v>?</v>
      </c>
      <c r="I16" s="168"/>
      <c r="J16" s="168"/>
      <c r="K16" s="168"/>
      <c r="L16" s="3"/>
      <c r="M16" s="3"/>
      <c r="N16" s="3"/>
    </row>
    <row r="17" spans="1:14" ht="14.25">
      <c r="A17" s="86"/>
      <c r="B17" s="86"/>
      <c r="C17" s="86"/>
      <c r="D17" s="86"/>
      <c r="E17" s="86"/>
      <c r="F17" s="86"/>
      <c r="G17" s="86"/>
      <c r="H17" s="87"/>
      <c r="I17" s="86"/>
      <c r="J17" s="86"/>
      <c r="K17" s="86"/>
      <c r="L17" s="86"/>
      <c r="M17" s="86"/>
      <c r="N17" s="86"/>
    </row>
    <row r="18" spans="1:14" ht="15">
      <c r="A18" s="210" t="s">
        <v>75</v>
      </c>
      <c r="B18" s="210"/>
      <c r="C18" s="210"/>
      <c r="D18" s="210"/>
      <c r="E18" s="210"/>
      <c r="F18" s="210"/>
      <c r="G18" s="210"/>
      <c r="H18" s="210"/>
      <c r="I18" s="210"/>
      <c r="J18" s="210"/>
      <c r="K18" s="210"/>
      <c r="L18" s="3"/>
      <c r="M18" s="3"/>
      <c r="N18" s="3"/>
    </row>
    <row r="19" spans="1:14" ht="14.25">
      <c r="A19" s="168" t="s">
        <v>27</v>
      </c>
      <c r="B19" s="168"/>
      <c r="C19" s="168"/>
      <c r="D19" s="3"/>
      <c r="E19" s="3"/>
      <c r="F19" s="3"/>
      <c r="G19" s="3"/>
      <c r="H19" s="84" t="s">
        <v>21</v>
      </c>
      <c r="I19" s="211" t="s">
        <v>76</v>
      </c>
      <c r="J19" s="211"/>
      <c r="K19" s="211"/>
      <c r="L19" s="3"/>
      <c r="M19" s="3"/>
      <c r="N19" s="3"/>
    </row>
    <row r="20" spans="1:14" ht="39.950000000000003" customHeight="1">
      <c r="A20" s="212" t="s">
        <v>156</v>
      </c>
      <c r="B20" s="212"/>
      <c r="C20" s="212"/>
      <c r="D20" s="212"/>
      <c r="E20" s="212"/>
      <c r="F20" s="212"/>
      <c r="G20" s="212"/>
      <c r="H20" s="54" t="s">
        <v>152</v>
      </c>
      <c r="I20" s="209"/>
      <c r="J20" s="209"/>
      <c r="K20" s="209"/>
      <c r="L20" s="88"/>
      <c r="M20" s="88"/>
      <c r="N20" s="88"/>
    </row>
    <row r="21" spans="1:14" ht="14.25">
      <c r="A21" s="169"/>
      <c r="B21" s="169"/>
      <c r="C21" s="169"/>
      <c r="D21" s="169"/>
      <c r="E21" s="169"/>
      <c r="F21" s="169"/>
      <c r="G21" s="169"/>
      <c r="H21" s="169"/>
      <c r="I21" s="169"/>
      <c r="J21" s="169"/>
      <c r="K21" s="169"/>
      <c r="L21" s="169"/>
      <c r="M21" s="169"/>
      <c r="N21" s="169"/>
    </row>
    <row r="22" spans="1:14" ht="15.75">
      <c r="A22" s="168"/>
      <c r="B22" s="168"/>
      <c r="C22" s="168"/>
      <c r="D22" s="168"/>
      <c r="E22" s="168"/>
      <c r="F22" s="208" t="s">
        <v>36</v>
      </c>
      <c r="G22" s="208"/>
      <c r="H22" s="85" t="str">
        <f>IF(H20="&lt;&lt; kies &gt;&gt;","?",IF(H20="Nee","Pass","Fail"))</f>
        <v>?</v>
      </c>
      <c r="I22" s="168"/>
      <c r="J22" s="168"/>
      <c r="K22" s="168"/>
      <c r="L22" s="3"/>
      <c r="M22" s="3"/>
      <c r="N22" s="3"/>
    </row>
  </sheetData>
  <mergeCells count="18">
    <mergeCell ref="I3:J4"/>
    <mergeCell ref="C4:D4"/>
    <mergeCell ref="I5:J6"/>
    <mergeCell ref="A6:B6"/>
    <mergeCell ref="I14:K14"/>
    <mergeCell ref="I12:K12"/>
    <mergeCell ref="A14:G14"/>
    <mergeCell ref="A10:K10"/>
    <mergeCell ref="I11:K11"/>
    <mergeCell ref="A12:G12"/>
    <mergeCell ref="A13:G13"/>
    <mergeCell ref="I13:N13"/>
    <mergeCell ref="F22:G22"/>
    <mergeCell ref="I20:K20"/>
    <mergeCell ref="F16:G16"/>
    <mergeCell ref="A18:K18"/>
    <mergeCell ref="I19:K19"/>
    <mergeCell ref="A20:G20"/>
  </mergeCells>
  <conditionalFormatting sqref="I5:J6">
    <cfRule type="containsText" dxfId="36" priority="21" operator="containsText" text="Pass">
      <formula>NOT(ISERROR(SEARCH("Pass",I5)))</formula>
    </cfRule>
    <cfRule type="containsText" dxfId="35" priority="22" operator="containsText" text="Fail">
      <formula>NOT(ISERROR(SEARCH("Fail",I5)))</formula>
    </cfRule>
  </conditionalFormatting>
  <conditionalFormatting sqref="H16 H22">
    <cfRule type="cellIs" dxfId="34" priority="9" stopIfTrue="1" operator="equal">
      <formula>"Fail"</formula>
    </cfRule>
    <cfRule type="cellIs" dxfId="33" priority="10" stopIfTrue="1" operator="equal">
      <formula>"Pass"</formula>
    </cfRule>
  </conditionalFormatting>
  <conditionalFormatting sqref="H12">
    <cfRule type="cellIs" dxfId="32" priority="7" stopIfTrue="1" operator="equal">
      <formula>"Ja"</formula>
    </cfRule>
    <cfRule type="cellIs" dxfId="31" priority="8" stopIfTrue="1" operator="equal">
      <formula>"Nee"</formula>
    </cfRule>
  </conditionalFormatting>
  <conditionalFormatting sqref="H13">
    <cfRule type="cellIs" dxfId="30" priority="5" stopIfTrue="1" operator="equal">
      <formula>"Ja"</formula>
    </cfRule>
    <cfRule type="cellIs" dxfId="29" priority="6" stopIfTrue="1" operator="equal">
      <formula>"Nee"</formula>
    </cfRule>
  </conditionalFormatting>
  <conditionalFormatting sqref="H14">
    <cfRule type="cellIs" dxfId="28" priority="3" stopIfTrue="1" operator="equal">
      <formula>"Ja"</formula>
    </cfRule>
    <cfRule type="cellIs" dxfId="27" priority="4" stopIfTrue="1" operator="equal">
      <formula>"Nee"</formula>
    </cfRule>
  </conditionalFormatting>
  <conditionalFormatting sqref="H20">
    <cfRule type="cellIs" dxfId="26" priority="1" stopIfTrue="1" operator="equal">
      <formula>"Ja"</formula>
    </cfRule>
    <cfRule type="cellIs" dxfId="25" priority="2" stopIfTrue="1" operator="equal">
      <formula>"Nee"</formula>
    </cfRule>
  </conditionalFormatting>
  <dataValidations count="2">
    <dataValidation type="list" allowBlank="1" showInputMessage="1" showErrorMessage="1" sqref="H20 H17 H12:H14">
      <formula1>"&lt;&lt; kies &gt;&gt;, Ja, Nee"</formula1>
    </dataValidation>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Q37"/>
  <sheetViews>
    <sheetView workbookViewId="0">
      <selection activeCell="F33" sqref="F33"/>
    </sheetView>
  </sheetViews>
  <sheetFormatPr defaultColWidth="10.85546875" defaultRowHeight="12.75"/>
  <cols>
    <col min="1" max="8" width="10.85546875" style="53"/>
    <col min="9" max="9" width="6.42578125" style="53" customWidth="1"/>
    <col min="10" max="10" width="10.85546875" style="53"/>
    <col min="11" max="11" width="3.140625" style="53" customWidth="1"/>
    <col min="12" max="16384" width="10.85546875" style="53"/>
  </cols>
  <sheetData>
    <row r="1" spans="1:249" s="3" customFormat="1" ht="29.1" customHeight="1">
      <c r="A1" s="1" t="s">
        <v>119</v>
      </c>
      <c r="B1" s="2"/>
      <c r="C1" s="2"/>
      <c r="D1" s="2"/>
      <c r="E1" s="2"/>
      <c r="F1" s="2"/>
      <c r="G1" s="2"/>
      <c r="H1" s="2"/>
      <c r="I1" s="2"/>
      <c r="J1" s="2"/>
      <c r="K1" s="2"/>
    </row>
    <row r="2" spans="1:249" s="3" customFormat="1" ht="13.5" thickBot="1">
      <c r="A2" s="4"/>
    </row>
    <row r="3" spans="1:249" s="3" customFormat="1" ht="15.95" customHeight="1">
      <c r="A3" s="5" t="s">
        <v>18</v>
      </c>
      <c r="B3" s="6"/>
      <c r="C3" s="6"/>
      <c r="D3" s="6"/>
      <c r="H3" s="199" t="s">
        <v>21</v>
      </c>
      <c r="I3" s="200"/>
      <c r="J3" s="7"/>
      <c r="K3" s="8"/>
    </row>
    <row r="4" spans="1:249" s="3" customFormat="1" ht="12.95" customHeight="1">
      <c r="A4" s="9" t="s">
        <v>19</v>
      </c>
      <c r="B4" s="10"/>
      <c r="C4" s="177"/>
      <c r="D4" s="177"/>
      <c r="E4" s="10"/>
      <c r="F4" s="10"/>
      <c r="H4" s="201"/>
      <c r="I4" s="202"/>
      <c r="J4" s="11"/>
      <c r="K4" s="12"/>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row>
    <row r="5" spans="1:249" s="3" customFormat="1" ht="12.95" customHeight="1">
      <c r="A5" s="9"/>
      <c r="B5" s="10"/>
      <c r="C5" s="10"/>
      <c r="D5" s="10"/>
      <c r="E5" s="10"/>
      <c r="F5" s="10"/>
      <c r="H5" s="217" t="s">
        <v>59</v>
      </c>
      <c r="I5" s="218"/>
      <c r="J5" s="215" t="str">
        <f>IF(E30="?","?",IF(E31="?","?",IF(E32="?","?",IF(E33="?","?",E35))))</f>
        <v>?</v>
      </c>
      <c r="K5" s="216"/>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row>
    <row r="6" spans="1:249" s="3" customFormat="1" ht="15.95" customHeight="1" thickBot="1">
      <c r="A6" s="196" t="s">
        <v>71</v>
      </c>
      <c r="B6" s="196"/>
      <c r="C6" s="60" t="s">
        <v>56</v>
      </c>
      <c r="D6" s="183" t="s">
        <v>65</v>
      </c>
      <c r="E6" s="183"/>
      <c r="F6" s="183"/>
      <c r="G6" s="183"/>
      <c r="H6" s="205" t="s">
        <v>60</v>
      </c>
      <c r="I6" s="206"/>
      <c r="J6" s="197" t="str">
        <f>IF(F30="?","?",IF(F31="?","?",IF(F32="?","?",IF(F33="?","?",F35))))</f>
        <v>?</v>
      </c>
      <c r="K6" s="198"/>
    </row>
    <row r="7" spans="1:249" ht="28.5">
      <c r="C7" s="61" t="s">
        <v>61</v>
      </c>
      <c r="D7" s="61" t="s">
        <v>66</v>
      </c>
      <c r="E7" s="62"/>
      <c r="F7" s="63"/>
      <c r="G7" s="63"/>
    </row>
    <row r="8" spans="1:249" ht="26.1" customHeight="1">
      <c r="C8" s="52" t="s">
        <v>62</v>
      </c>
      <c r="D8" s="52" t="s">
        <v>66</v>
      </c>
      <c r="E8" s="63"/>
      <c r="F8" s="63"/>
      <c r="G8" s="63"/>
    </row>
    <row r="9" spans="1:249" ht="28.5">
      <c r="C9" s="61" t="s">
        <v>63</v>
      </c>
      <c r="D9" s="61" t="s">
        <v>67</v>
      </c>
      <c r="E9" s="62"/>
      <c r="F9" s="63"/>
      <c r="G9" s="63"/>
    </row>
    <row r="10" spans="1:249" ht="28.5">
      <c r="C10" s="52" t="s">
        <v>64</v>
      </c>
      <c r="D10" s="181" t="s">
        <v>68</v>
      </c>
      <c r="E10" s="181"/>
      <c r="F10" s="63"/>
      <c r="G10" s="63"/>
    </row>
    <row r="12" spans="1:249" ht="30">
      <c r="A12" s="196" t="s">
        <v>72</v>
      </c>
      <c r="B12" s="196"/>
      <c r="C12" s="60" t="s">
        <v>56</v>
      </c>
      <c r="D12" s="183" t="s">
        <v>65</v>
      </c>
      <c r="E12" s="183"/>
      <c r="F12" s="183"/>
      <c r="G12" s="183"/>
    </row>
    <row r="13" spans="1:249" ht="28.5">
      <c r="C13" s="61" t="s">
        <v>61</v>
      </c>
      <c r="D13" s="61" t="s">
        <v>69</v>
      </c>
      <c r="E13" s="62"/>
      <c r="F13" s="63"/>
      <c r="G13" s="63"/>
    </row>
    <row r="14" spans="1:249" ht="26.1" customHeight="1">
      <c r="C14" s="52" t="s">
        <v>62</v>
      </c>
      <c r="D14" s="52" t="s">
        <v>70</v>
      </c>
      <c r="E14" s="63"/>
      <c r="F14" s="63"/>
      <c r="G14" s="63"/>
    </row>
    <row r="15" spans="1:249" ht="28.5">
      <c r="C15" s="61" t="s">
        <v>63</v>
      </c>
      <c r="D15" s="61" t="s">
        <v>70</v>
      </c>
      <c r="E15" s="62"/>
      <c r="F15" s="63"/>
      <c r="G15" s="63"/>
    </row>
    <row r="16" spans="1:249" ht="28.5">
      <c r="C16" s="52" t="s">
        <v>64</v>
      </c>
      <c r="D16" s="181" t="s">
        <v>69</v>
      </c>
      <c r="E16" s="181"/>
      <c r="F16" s="63"/>
      <c r="G16" s="63"/>
    </row>
    <row r="22" spans="1:251" s="3" customFormat="1" ht="18" customHeight="1">
      <c r="A22" s="18" t="s">
        <v>37</v>
      </c>
      <c r="B22" s="19"/>
      <c r="C22" s="19"/>
      <c r="D22" s="19"/>
      <c r="E22" s="19"/>
      <c r="F22" s="19"/>
      <c r="G22" s="19"/>
      <c r="H22" s="20"/>
      <c r="I22" s="20"/>
      <c r="J22" s="20"/>
      <c r="K22" s="2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row>
    <row r="24" spans="1:251" s="65" customFormat="1">
      <c r="A24" s="59" t="s">
        <v>51</v>
      </c>
      <c r="B24" s="64"/>
      <c r="C24" s="64"/>
      <c r="D24" s="64"/>
      <c r="E24" s="64"/>
      <c r="F24" s="64"/>
      <c r="G24" s="64"/>
      <c r="H24" s="64"/>
      <c r="I24" s="64"/>
    </row>
    <row r="25" spans="1:251" s="65" customFormat="1">
      <c r="A25" s="64" t="s">
        <v>52</v>
      </c>
      <c r="B25" s="64"/>
      <c r="C25" s="66">
        <v>1024</v>
      </c>
      <c r="D25" s="64" t="s">
        <v>53</v>
      </c>
      <c r="E25" s="220" t="str">
        <f>IF(C25&gt;=1024,IF(C26&gt;=1024,"","DIN methode niet geschikt voor deze monitor"),"DIN methode niet geschikt voor deze monitor")</f>
        <v/>
      </c>
      <c r="F25" s="220"/>
      <c r="G25" s="220"/>
      <c r="H25" s="220"/>
      <c r="I25" s="220"/>
    </row>
    <row r="26" spans="1:251" s="65" customFormat="1">
      <c r="A26" s="64" t="s">
        <v>54</v>
      </c>
      <c r="B26" s="64"/>
      <c r="C26" s="66">
        <v>1024</v>
      </c>
      <c r="D26" s="64" t="s">
        <v>53</v>
      </c>
      <c r="E26" s="64"/>
      <c r="F26" s="64"/>
      <c r="G26" s="64"/>
      <c r="H26" s="64"/>
      <c r="I26" s="64"/>
    </row>
    <row r="27" spans="1:251" s="65" customFormat="1">
      <c r="A27" s="64" t="s">
        <v>55</v>
      </c>
      <c r="B27" s="64"/>
      <c r="C27" s="67">
        <f>(C25*C26)/1048581</f>
        <v>0.99999523165115523</v>
      </c>
      <c r="D27" s="64"/>
      <c r="E27" s="67"/>
      <c r="F27" s="64"/>
      <c r="G27" s="64"/>
      <c r="H27" s="64"/>
      <c r="I27" s="64"/>
    </row>
    <row r="28" spans="1:251" s="65" customFormat="1">
      <c r="A28" s="64"/>
      <c r="B28" s="67"/>
      <c r="C28" s="64"/>
      <c r="D28" s="64"/>
      <c r="E28" s="64"/>
      <c r="F28" s="64"/>
      <c r="G28" s="64"/>
      <c r="H28" s="64"/>
      <c r="I28" s="64"/>
    </row>
    <row r="29" spans="1:251" s="65" customFormat="1" ht="51">
      <c r="A29" s="68" t="s">
        <v>56</v>
      </c>
      <c r="B29" s="69" t="s">
        <v>57</v>
      </c>
      <c r="C29" s="221" t="s">
        <v>58</v>
      </c>
      <c r="D29" s="221"/>
      <c r="E29" s="69" t="s">
        <v>59</v>
      </c>
      <c r="F29" s="69" t="s">
        <v>60</v>
      </c>
      <c r="G29" s="64"/>
      <c r="H29" s="64"/>
      <c r="I29" s="64"/>
    </row>
    <row r="30" spans="1:251" s="65" customFormat="1" ht="24.95" customHeight="1">
      <c r="A30" s="70" t="s">
        <v>61</v>
      </c>
      <c r="B30" s="71"/>
      <c r="C30" s="219"/>
      <c r="D30" s="219"/>
      <c r="E30" s="72" t="str">
        <f>IF(ISBLANK(B30),"?",IF(B30&gt;1,"Fail","Pass"))</f>
        <v>?</v>
      </c>
      <c r="F30" s="72" t="str">
        <f>IF(ISBLANK(B30),"?",IF(B30&gt;(ROUND($C$27*1,0)),"Fail","Pass"))</f>
        <v>?</v>
      </c>
      <c r="G30" s="73"/>
      <c r="H30" s="73"/>
      <c r="I30" s="73"/>
    </row>
    <row r="31" spans="1:251" s="65" customFormat="1" ht="24.95" customHeight="1">
      <c r="A31" s="74" t="s">
        <v>62</v>
      </c>
      <c r="B31" s="71"/>
      <c r="C31" s="219"/>
      <c r="D31" s="219"/>
      <c r="E31" s="80" t="str">
        <f>IF(ISBLANK(B31),"?",IF(B31&gt;1,"Fail","Pass"))</f>
        <v>?</v>
      </c>
      <c r="F31" s="80" t="str">
        <f>IF(ISBLANK(B31),"?",IF(B31&gt;(ROUND($C$27*5,0)),"Fail","Pass"))</f>
        <v>?</v>
      </c>
      <c r="G31" s="75"/>
      <c r="H31" s="75"/>
      <c r="I31" s="75"/>
    </row>
    <row r="32" spans="1:251" s="65" customFormat="1" ht="24.95" customHeight="1">
      <c r="A32" s="70" t="s">
        <v>63</v>
      </c>
      <c r="B32" s="71"/>
      <c r="C32" s="219"/>
      <c r="D32" s="219"/>
      <c r="E32" s="72" t="str">
        <f>IF(ISBLANK(B32),"?",IF(B32&gt;2,"Fail","Pass"))</f>
        <v>?</v>
      </c>
      <c r="F32" s="72" t="str">
        <f>IF(ISBLANK(B32),"?",IF(B32&gt;(ROUND($C$27*5,0)),"Fail","Pass"))</f>
        <v>?</v>
      </c>
      <c r="G32" s="73"/>
      <c r="H32" s="73"/>
      <c r="I32" s="73"/>
    </row>
    <row r="33" spans="1:9" s="65" customFormat="1" ht="24.95" customHeight="1">
      <c r="A33" s="74" t="s">
        <v>64</v>
      </c>
      <c r="B33" s="71"/>
      <c r="C33" s="219"/>
      <c r="D33" s="219"/>
      <c r="E33" s="80" t="str">
        <f>IF(ISBLANK(B33),"?",IF(B33&gt;1,"Fail","Pass"))</f>
        <v>?</v>
      </c>
      <c r="F33" s="80" t="str">
        <f>IF(ISBLANK(B33),"?",IF(B33&gt;(ROUND($C$27*1,0)),"Fail","Pass"))</f>
        <v>?</v>
      </c>
      <c r="G33" s="75"/>
      <c r="H33" s="75"/>
      <c r="I33" s="75"/>
    </row>
    <row r="34" spans="1:9" s="65" customFormat="1">
      <c r="A34" s="76"/>
      <c r="B34" s="77"/>
      <c r="C34" s="77"/>
      <c r="D34" s="77"/>
      <c r="E34" s="77"/>
      <c r="F34" s="77"/>
      <c r="G34" s="77"/>
      <c r="H34" s="77"/>
      <c r="I34" s="77"/>
    </row>
    <row r="35" spans="1:9" s="65" customFormat="1">
      <c r="A35" s="78"/>
      <c r="B35" s="78"/>
      <c r="C35" s="78"/>
      <c r="D35" s="79" t="s">
        <v>36</v>
      </c>
      <c r="E35" s="69" t="str">
        <f>IF(E30="?","?",IF(E31="?","?",IF(E32="?","?",IF(E33="?","?",IF(E30="Pass",IF(E31="Pass",IF(E32="Pass",IF(E33="Pass","Pass","Fail"),"Fail"),"Fail"),"Fail")))))</f>
        <v>?</v>
      </c>
      <c r="F35" s="69" t="str">
        <f>IF(F30="?","?",IF(F31="?","?",IF(F32="?","?",IF(F33="?","?",IF(F30="Pass",IF(F31="Pass",IF(F32="Pass",IF(F33="Pass","Pass","Fail"),"Fail"),"Fail"),"Fail")))))</f>
        <v>?</v>
      </c>
      <c r="G35" s="64"/>
      <c r="H35" s="64"/>
      <c r="I35" s="78"/>
    </row>
    <row r="36" spans="1:9" s="65" customFormat="1">
      <c r="A36" s="64"/>
      <c r="B36" s="64"/>
      <c r="C36" s="64"/>
      <c r="D36" s="64"/>
      <c r="E36" s="64"/>
      <c r="F36" s="64"/>
      <c r="G36" s="64"/>
      <c r="H36" s="64"/>
      <c r="I36" s="64"/>
    </row>
    <row r="37" spans="1:9" s="65" customFormat="1"/>
  </sheetData>
  <mergeCells count="18">
    <mergeCell ref="C33:D33"/>
    <mergeCell ref="E25:I25"/>
    <mergeCell ref="C29:D29"/>
    <mergeCell ref="C30:D30"/>
    <mergeCell ref="C31:D31"/>
    <mergeCell ref="C32:D32"/>
    <mergeCell ref="D12:G12"/>
    <mergeCell ref="D16:E16"/>
    <mergeCell ref="C4:D4"/>
    <mergeCell ref="A6:B6"/>
    <mergeCell ref="H3:I4"/>
    <mergeCell ref="H5:I5"/>
    <mergeCell ref="A12:B12"/>
    <mergeCell ref="J5:K5"/>
    <mergeCell ref="H6:I6"/>
    <mergeCell ref="J6:K6"/>
    <mergeCell ref="D6:G6"/>
    <mergeCell ref="D10:E10"/>
  </mergeCells>
  <conditionalFormatting sqref="H30">
    <cfRule type="expression" dxfId="24" priority="15">
      <formula>IF(#REF!&gt;1,"Fail","Pass")</formula>
    </cfRule>
  </conditionalFormatting>
  <conditionalFormatting sqref="E30:F30 E32:F32">
    <cfRule type="cellIs" dxfId="23" priority="16" stopIfTrue="1" operator="equal">
      <formula>"Pass"</formula>
    </cfRule>
    <cfRule type="cellIs" dxfId="22" priority="17" stopIfTrue="1" operator="equal">
      <formula>"Fail"</formula>
    </cfRule>
  </conditionalFormatting>
  <conditionalFormatting sqref="E35:F35">
    <cfRule type="cellIs" dxfId="21" priority="20" stopIfTrue="1" operator="equal">
      <formula>"Fail"</formula>
    </cfRule>
    <cfRule type="cellIs" dxfId="20" priority="21" stopIfTrue="1" operator="equal">
      <formula>"Pass"</formula>
    </cfRule>
  </conditionalFormatting>
  <conditionalFormatting sqref="J6">
    <cfRule type="containsText" dxfId="19" priority="9" operator="containsText" text="Pass">
      <formula>NOT(ISERROR(SEARCH("Pass",J6)))</formula>
    </cfRule>
    <cfRule type="containsText" dxfId="18" priority="10" operator="containsText" text="Fail">
      <formula>NOT(ISERROR(SEARCH("Fail",J6)))</formula>
    </cfRule>
  </conditionalFormatting>
  <conditionalFormatting sqref="J5">
    <cfRule type="containsText" dxfId="17" priority="11" operator="containsText" text="Pass">
      <formula>NOT(ISERROR(SEARCH("Pass",J5)))</formula>
    </cfRule>
    <cfRule type="containsText" dxfId="16" priority="12" operator="containsText" text="Fail">
      <formula>NOT(ISERROR(SEARCH("Fail",J5)))</formula>
    </cfRule>
  </conditionalFormatting>
  <conditionalFormatting sqref="E31">
    <cfRule type="cellIs" dxfId="15" priority="7" stopIfTrue="1" operator="equal">
      <formula>"Pass"</formula>
    </cfRule>
    <cfRule type="cellIs" dxfId="14" priority="8" stopIfTrue="1" operator="equal">
      <formula>"Fail"</formula>
    </cfRule>
  </conditionalFormatting>
  <conditionalFormatting sqref="E33">
    <cfRule type="cellIs" dxfId="13" priority="5" stopIfTrue="1" operator="equal">
      <formula>"Pass"</formula>
    </cfRule>
    <cfRule type="cellIs" dxfId="12" priority="6" stopIfTrue="1" operator="equal">
      <formula>"Fail"</formula>
    </cfRule>
  </conditionalFormatting>
  <conditionalFormatting sqref="F31">
    <cfRule type="cellIs" dxfId="11" priority="3" stopIfTrue="1" operator="equal">
      <formula>"Pass"</formula>
    </cfRule>
    <cfRule type="cellIs" dxfId="10" priority="4" stopIfTrue="1" operator="equal">
      <formula>"Fail"</formula>
    </cfRule>
  </conditionalFormatting>
  <conditionalFormatting sqref="F33">
    <cfRule type="cellIs" dxfId="9" priority="1" stopIfTrue="1" operator="equal">
      <formula>"Pass"</formula>
    </cfRule>
    <cfRule type="cellIs" dxfId="8" priority="2" stopIfTrue="1" operator="equal">
      <formula>"Fail"</formula>
    </cfRule>
  </conditionalFormatting>
  <dataValidations count="1">
    <dataValidation type="list" allowBlank="1" showInputMessage="1" showErrorMessage="1" sqref="C4:D4">
      <formula1>"Mammografie, Diagnostisch, Review,"</formula1>
    </dataValidation>
  </dataValidations>
  <pageMargins left="0.75" right="0.75" top="1" bottom="1" header="0.5" footer="0.5"/>
  <pageSetup paperSize="9" orientation="portrait" horizontalDpi="4294967292" verticalDpi="4294967292"/>
  <drawing r:id="rId1"/>
  <legacyDrawing r:id="rId2"/>
  <oleObjects>
    <mc:AlternateContent xmlns:mc="http://schemas.openxmlformats.org/markup-compatibility/2006">
      <mc:Choice Requires="x14">
        <oleObject progId="Equation.3" shapeId="5122" r:id="rId3">
          <objectPr defaultSize="0" autoPict="0" r:id="rId4">
            <anchor moveWithCells="1">
              <from>
                <xdr:col>2</xdr:col>
                <xdr:colOff>0</xdr:colOff>
                <xdr:row>16</xdr:row>
                <xdr:rowOff>19050</xdr:rowOff>
              </from>
              <to>
                <xdr:col>9</xdr:col>
                <xdr:colOff>352425</xdr:colOff>
                <xdr:row>18</xdr:row>
                <xdr:rowOff>95250</xdr:rowOff>
              </to>
            </anchor>
          </objectPr>
        </oleObject>
      </mc:Choice>
      <mc:Fallback>
        <oleObject progId="Equation.3" shapeId="5122" r:id="rId3"/>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10</vt:i4>
      </vt:variant>
    </vt:vector>
  </HeadingPairs>
  <TitlesOfParts>
    <vt:vector size="10" baseType="lpstr">
      <vt:lpstr>Voorblad</vt:lpstr>
      <vt:lpstr>Algemeen</vt:lpstr>
      <vt:lpstr>§5.1 Omgevingslicht</vt:lpstr>
      <vt:lpstr>§5.2 Globale evaluatie</vt:lpstr>
      <vt:lpstr>§5.3 Lmax en Lmin</vt:lpstr>
      <vt:lpstr>§5.4 Luminance response (GSDF)</vt:lpstr>
      <vt:lpstr>§5.5 Niet-uniformiteit</vt:lpstr>
      <vt:lpstr>§5.6 Kleuruniformiteit</vt:lpstr>
      <vt:lpstr>§5.7 Pixel fout evaluatie</vt:lpstr>
      <vt:lpstr>§5.8 Display resolution</vt:lpstr>
    </vt:vector>
  </TitlesOfParts>
  <Company>LUMC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Jurgen Mourik</dc:creator>
  <cp:lastModifiedBy> </cp:lastModifiedBy>
  <dcterms:created xsi:type="dcterms:W3CDTF">2013-07-02T13:18:47Z</dcterms:created>
  <dcterms:modified xsi:type="dcterms:W3CDTF">2019-10-07T10:47:18Z</dcterms:modified>
</cp:coreProperties>
</file>