
<file path=[Content_Types].xml><?xml version="1.0" encoding="utf-8"?>
<Types xmlns="http://schemas.openxmlformats.org/package/2006/content-types">
  <Default Extension="png" ContentType="image/png"/>
  <Default Extension="bin" ContentType="application/vnd.openxmlformats-officedocument.oleObject"/>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465" windowWidth="19320" windowHeight="11760" tabRatio="707"/>
  </bookViews>
  <sheets>
    <sheet name="Voorblad" sheetId="13" r:id="rId1"/>
    <sheet name="Algemeen" sheetId="3" r:id="rId2"/>
    <sheet name="§5.1 Omgevingslicht" sheetId="12" r:id="rId3"/>
    <sheet name="§5.2 Globale evaluatie LINKS" sheetId="9" r:id="rId4"/>
    <sheet name="§5.2 Globale evaluatie RECHTS" sheetId="14" r:id="rId5"/>
    <sheet name="§5.3 Lmax en Lmin" sheetId="10" r:id="rId6"/>
    <sheet name="§5.4 Luminance response (GSDF)" sheetId="1" r:id="rId7"/>
    <sheet name="§5.5 Niet-uniformiteit" sheetId="8" r:id="rId8"/>
    <sheet name="§5.6 Kleuruniformiteit LINKS" sheetId="6" r:id="rId9"/>
    <sheet name="§5.6 Kleuruniformiteit RECHTS" sheetId="15" r:id="rId10"/>
    <sheet name="§5.7 Pixel fout evaluatie LINKS" sheetId="5" r:id="rId11"/>
    <sheet name="§5.7 Pixel fout evaluatie RECHT" sheetId="17" r:id="rId12"/>
    <sheet name="§5.8 Display resolution LINKS" sheetId="2" r:id="rId13"/>
    <sheet name="§5.8 Display resolution RECHTS" sheetId="18" r:id="rId14"/>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F32" i="17" l="1"/>
  <c r="F31" i="17"/>
  <c r="E32" i="17"/>
  <c r="F32" i="5"/>
  <c r="F31" i="5"/>
  <c r="E32" i="5"/>
  <c r="C19" i="10"/>
  <c r="B19" i="10"/>
  <c r="C9" i="10"/>
  <c r="C8" i="10"/>
  <c r="C6" i="10"/>
  <c r="C7" i="1"/>
  <c r="C6" i="1"/>
  <c r="C6" i="8"/>
  <c r="I5" i="18"/>
  <c r="E37" i="3"/>
  <c r="I5" i="2"/>
  <c r="D37" i="3" s="1"/>
  <c r="H24" i="18"/>
  <c r="F30" i="17"/>
  <c r="F35" i="17" s="1"/>
  <c r="E30" i="17"/>
  <c r="E35" i="17" s="1"/>
  <c r="F33" i="17"/>
  <c r="E33" i="17"/>
  <c r="E31" i="17"/>
  <c r="C27" i="17"/>
  <c r="E25" i="17"/>
  <c r="J6" i="17"/>
  <c r="E36" i="3" s="1"/>
  <c r="H22" i="15"/>
  <c r="H16" i="15"/>
  <c r="I5" i="15"/>
  <c r="E34" i="3" s="1"/>
  <c r="H36" i="14"/>
  <c r="H27" i="14"/>
  <c r="H18" i="14"/>
  <c r="I5" i="14" s="1"/>
  <c r="E29" i="3" s="1"/>
  <c r="I30" i="12"/>
  <c r="D30" i="12"/>
  <c r="I28" i="12"/>
  <c r="D28" i="12"/>
  <c r="I27" i="12"/>
  <c r="D27" i="12"/>
  <c r="I26" i="12"/>
  <c r="D26" i="12"/>
  <c r="I24" i="12"/>
  <c r="D24" i="12"/>
  <c r="C16" i="12"/>
  <c r="B16" i="12"/>
  <c r="B17" i="10" s="1"/>
  <c r="H16" i="6"/>
  <c r="H22" i="6"/>
  <c r="C18" i="10"/>
  <c r="C21" i="10" s="1"/>
  <c r="J6" i="10" s="1"/>
  <c r="E30" i="3" s="1"/>
  <c r="B18" i="10"/>
  <c r="B21" i="10"/>
  <c r="J5" i="10" s="1"/>
  <c r="D30" i="3" s="1"/>
  <c r="C17" i="10"/>
  <c r="D15" i="10"/>
  <c r="J7" i="10" s="1"/>
  <c r="D31" i="3" s="1"/>
  <c r="D16" i="10"/>
  <c r="J6" i="8"/>
  <c r="E33" i="3" s="1"/>
  <c r="J5" i="8"/>
  <c r="D33" i="3" s="1"/>
  <c r="H18" i="9"/>
  <c r="I5" i="9"/>
  <c r="D29" i="3" s="1"/>
  <c r="H27" i="9"/>
  <c r="H36" i="9"/>
  <c r="H23" i="8"/>
  <c r="H24" i="8"/>
  <c r="G23" i="8"/>
  <c r="G24" i="8"/>
  <c r="G14" i="8"/>
  <c r="G15" i="8"/>
  <c r="H15" i="8"/>
  <c r="H14" i="8"/>
  <c r="H24" i="2"/>
  <c r="I5" i="6"/>
  <c r="D34" i="3" s="1"/>
  <c r="F30" i="5"/>
  <c r="F35" i="5" s="1"/>
  <c r="E30" i="5"/>
  <c r="J5" i="5" s="1"/>
  <c r="D35" i="3" s="1"/>
  <c r="E31" i="5"/>
  <c r="E33" i="5"/>
  <c r="F33" i="5"/>
  <c r="C27" i="5"/>
  <c r="E25" i="5"/>
  <c r="K87" i="1"/>
  <c r="L87" i="1"/>
  <c r="K70" i="1"/>
  <c r="L70" i="1" s="1"/>
  <c r="J71" i="1"/>
  <c r="J72" i="1"/>
  <c r="J73" i="1" s="1"/>
  <c r="J74" i="1" s="1"/>
  <c r="J75" i="1" s="1"/>
  <c r="J76" i="1" s="1"/>
  <c r="J77" i="1" s="1"/>
  <c r="J78" i="1" s="1"/>
  <c r="J79" i="1" s="1"/>
  <c r="J80" i="1" s="1"/>
  <c r="J81" i="1" s="1"/>
  <c r="J82" i="1" s="1"/>
  <c r="J83" i="1" s="1"/>
  <c r="J84" i="1" s="1"/>
  <c r="J85" i="1" s="1"/>
  <c r="J86" i="1" s="1"/>
  <c r="J87" i="1" s="1"/>
  <c r="F71" i="1"/>
  <c r="F72" i="1"/>
  <c r="F73" i="1"/>
  <c r="F74" i="1"/>
  <c r="F75" i="1"/>
  <c r="F76" i="1"/>
  <c r="F77" i="1"/>
  <c r="F78" i="1"/>
  <c r="F79" i="1"/>
  <c r="F80" i="1"/>
  <c r="F81" i="1"/>
  <c r="F82" i="1"/>
  <c r="F83" i="1"/>
  <c r="F84" i="1"/>
  <c r="F85" i="1"/>
  <c r="F86" i="1"/>
  <c r="F87" i="1"/>
  <c r="K34" i="1"/>
  <c r="L34" i="1"/>
  <c r="K17" i="1"/>
  <c r="L17" i="1"/>
  <c r="J18" i="1"/>
  <c r="J19" i="1"/>
  <c r="J20" i="1" s="1"/>
  <c r="J21" i="1" s="1"/>
  <c r="J22" i="1" s="1"/>
  <c r="J23" i="1" s="1"/>
  <c r="J24" i="1" s="1"/>
  <c r="J25" i="1" s="1"/>
  <c r="J26" i="1" s="1"/>
  <c r="J27" i="1" s="1"/>
  <c r="J28" i="1" s="1"/>
  <c r="J29" i="1" s="1"/>
  <c r="J30" i="1" s="1"/>
  <c r="J31" i="1" s="1"/>
  <c r="J32" i="1" s="1"/>
  <c r="J33" i="1" s="1"/>
  <c r="J34" i="1" s="1"/>
  <c r="K39" i="1"/>
  <c r="F18" i="1"/>
  <c r="F19" i="1"/>
  <c r="F20" i="1"/>
  <c r="F21" i="1"/>
  <c r="F22" i="1"/>
  <c r="F23" i="1"/>
  <c r="F24" i="1"/>
  <c r="F25" i="1"/>
  <c r="F26" i="1"/>
  <c r="F27" i="1"/>
  <c r="F28" i="1"/>
  <c r="F29" i="1"/>
  <c r="F30" i="1"/>
  <c r="F31" i="1"/>
  <c r="F32" i="1"/>
  <c r="F33" i="1"/>
  <c r="F34" i="1"/>
  <c r="O69" i="1"/>
  <c r="N69" i="1"/>
  <c r="O16" i="1"/>
  <c r="N16" i="1"/>
  <c r="I71" i="1"/>
  <c r="I72" i="1"/>
  <c r="I73" i="1" s="1"/>
  <c r="I74" i="1" s="1"/>
  <c r="I75" i="1" s="1"/>
  <c r="I76" i="1" s="1"/>
  <c r="I77" i="1" s="1"/>
  <c r="I78" i="1" s="1"/>
  <c r="I79" i="1" s="1"/>
  <c r="I80" i="1" s="1"/>
  <c r="I81" i="1" s="1"/>
  <c r="I82" i="1" s="1"/>
  <c r="I83" i="1" s="1"/>
  <c r="I84" i="1" s="1"/>
  <c r="I85" i="1" s="1"/>
  <c r="I86" i="1" s="1"/>
  <c r="I87" i="1" s="1"/>
  <c r="D87" i="1"/>
  <c r="B71" i="1"/>
  <c r="B72" i="1" s="1"/>
  <c r="B73" i="1" s="1"/>
  <c r="B74" i="1" s="1"/>
  <c r="B75" i="1" s="1"/>
  <c r="B76" i="1" s="1"/>
  <c r="B77" i="1" s="1"/>
  <c r="B78" i="1" s="1"/>
  <c r="B79" i="1" s="1"/>
  <c r="B80" i="1" s="1"/>
  <c r="B81" i="1" s="1"/>
  <c r="B82" i="1" s="1"/>
  <c r="B83" i="1" s="1"/>
  <c r="B84" i="1" s="1"/>
  <c r="B85" i="1" s="1"/>
  <c r="B86" i="1" s="1"/>
  <c r="B87" i="1" s="1"/>
  <c r="A71" i="1"/>
  <c r="A72" i="1" s="1"/>
  <c r="A73" i="1" s="1"/>
  <c r="A74" i="1" s="1"/>
  <c r="A75" i="1" s="1"/>
  <c r="A76" i="1" s="1"/>
  <c r="A77" i="1" s="1"/>
  <c r="A78" i="1" s="1"/>
  <c r="A79" i="1" s="1"/>
  <c r="A80" i="1" s="1"/>
  <c r="A81" i="1" s="1"/>
  <c r="A82" i="1" s="1"/>
  <c r="A83" i="1" s="1"/>
  <c r="A84" i="1" s="1"/>
  <c r="A85" i="1" s="1"/>
  <c r="A86" i="1" s="1"/>
  <c r="A87" i="1" s="1"/>
  <c r="D86" i="1"/>
  <c r="D85" i="1"/>
  <c r="D84" i="1"/>
  <c r="D83" i="1"/>
  <c r="D82" i="1"/>
  <c r="D81" i="1"/>
  <c r="D80" i="1"/>
  <c r="D79" i="1"/>
  <c r="D78" i="1"/>
  <c r="D77" i="1"/>
  <c r="D76" i="1"/>
  <c r="D75" i="1"/>
  <c r="D74" i="1"/>
  <c r="D73" i="1"/>
  <c r="D72" i="1"/>
  <c r="D71" i="1"/>
  <c r="D70" i="1"/>
  <c r="I18" i="1"/>
  <c r="I19" i="1" s="1"/>
  <c r="I20" i="1" s="1"/>
  <c r="I21" i="1" s="1"/>
  <c r="I22" i="1" s="1"/>
  <c r="I23" i="1" s="1"/>
  <c r="I24" i="1" s="1"/>
  <c r="I25" i="1" s="1"/>
  <c r="I26" i="1" s="1"/>
  <c r="I27" i="1" s="1"/>
  <c r="I28" i="1" s="1"/>
  <c r="I29" i="1" s="1"/>
  <c r="I30" i="1" s="1"/>
  <c r="I31" i="1" s="1"/>
  <c r="I32" i="1" s="1"/>
  <c r="I33" i="1" s="1"/>
  <c r="I34" i="1" s="1"/>
  <c r="D34" i="1"/>
  <c r="B18" i="1"/>
  <c r="B19" i="1"/>
  <c r="B20" i="1"/>
  <c r="B21" i="1"/>
  <c r="B22" i="1" s="1"/>
  <c r="B23" i="1" s="1"/>
  <c r="B24" i="1" s="1"/>
  <c r="B25" i="1" s="1"/>
  <c r="B26" i="1" s="1"/>
  <c r="B27" i="1" s="1"/>
  <c r="B28" i="1" s="1"/>
  <c r="B29" i="1" s="1"/>
  <c r="B30" i="1" s="1"/>
  <c r="B31" i="1" s="1"/>
  <c r="B32" i="1" s="1"/>
  <c r="B33" i="1" s="1"/>
  <c r="B34" i="1" s="1"/>
  <c r="A18" i="1"/>
  <c r="A19" i="1"/>
  <c r="A20" i="1"/>
  <c r="A21" i="1" s="1"/>
  <c r="A22" i="1" s="1"/>
  <c r="A23" i="1" s="1"/>
  <c r="A24" i="1" s="1"/>
  <c r="A25" i="1" s="1"/>
  <c r="A26" i="1" s="1"/>
  <c r="A27" i="1" s="1"/>
  <c r="A28" i="1" s="1"/>
  <c r="A29" i="1" s="1"/>
  <c r="A30" i="1" s="1"/>
  <c r="A31" i="1" s="1"/>
  <c r="A32" i="1" s="1"/>
  <c r="A33" i="1" s="1"/>
  <c r="A34" i="1" s="1"/>
  <c r="D33" i="1"/>
  <c r="D32" i="1"/>
  <c r="D31" i="1"/>
  <c r="D30" i="1"/>
  <c r="D29" i="1"/>
  <c r="D28" i="1"/>
  <c r="D27" i="1"/>
  <c r="D26" i="1"/>
  <c r="D25" i="1"/>
  <c r="D24" i="1"/>
  <c r="D23" i="1"/>
  <c r="D22" i="1"/>
  <c r="D21" i="1"/>
  <c r="D20" i="1"/>
  <c r="D19" i="1"/>
  <c r="D18" i="1"/>
  <c r="D17" i="1"/>
  <c r="K92" i="1" l="1"/>
  <c r="K91" i="1"/>
  <c r="K38" i="1"/>
  <c r="J5" i="17"/>
  <c r="E35" i="3" s="1"/>
  <c r="E35" i="5"/>
  <c r="J6" i="5"/>
  <c r="D36" i="3" s="1"/>
  <c r="L78" i="1" l="1"/>
  <c r="K78" i="1" s="1"/>
  <c r="L86" i="1"/>
  <c r="K86" i="1" s="1"/>
  <c r="L75" i="1"/>
  <c r="K75" i="1" s="1"/>
  <c r="L83" i="1"/>
  <c r="K83" i="1" s="1"/>
  <c r="L72" i="1"/>
  <c r="K72" i="1" s="1"/>
  <c r="L80" i="1"/>
  <c r="K80" i="1" s="1"/>
  <c r="M80" i="1" s="1"/>
  <c r="L77" i="1"/>
  <c r="K77" i="1" s="1"/>
  <c r="M77" i="1" s="1"/>
  <c r="L85" i="1"/>
  <c r="K85" i="1" s="1"/>
  <c r="L74" i="1"/>
  <c r="K74" i="1" s="1"/>
  <c r="L82" i="1"/>
  <c r="K82" i="1" s="1"/>
  <c r="L71" i="1"/>
  <c r="K71" i="1" s="1"/>
  <c r="M71" i="1" s="1"/>
  <c r="L79" i="1"/>
  <c r="K79" i="1" s="1"/>
  <c r="M79" i="1" s="1"/>
  <c r="L76" i="1"/>
  <c r="K76" i="1" s="1"/>
  <c r="M76" i="1" s="1"/>
  <c r="L84" i="1"/>
  <c r="K84" i="1" s="1"/>
  <c r="M84" i="1" s="1"/>
  <c r="L73" i="1"/>
  <c r="K73" i="1" s="1"/>
  <c r="M73" i="1" s="1"/>
  <c r="L81" i="1"/>
  <c r="K81" i="1" s="1"/>
  <c r="L21" i="1"/>
  <c r="K21" i="1" s="1"/>
  <c r="L29" i="1"/>
  <c r="K29" i="1" s="1"/>
  <c r="M29" i="1" s="1"/>
  <c r="L18" i="1"/>
  <c r="K18" i="1" s="1"/>
  <c r="M18" i="1" s="1"/>
  <c r="L26" i="1"/>
  <c r="K26" i="1" s="1"/>
  <c r="L23" i="1"/>
  <c r="K23" i="1" s="1"/>
  <c r="L31" i="1"/>
  <c r="K31" i="1" s="1"/>
  <c r="M31" i="1" s="1"/>
  <c r="L25" i="1"/>
  <c r="K25" i="1" s="1"/>
  <c r="M25" i="1" s="1"/>
  <c r="L33" i="1"/>
  <c r="K33" i="1" s="1"/>
  <c r="L22" i="1"/>
  <c r="K22" i="1" s="1"/>
  <c r="M22" i="1" s="1"/>
  <c r="L30" i="1"/>
  <c r="K30" i="1" s="1"/>
  <c r="M30" i="1" s="1"/>
  <c r="L20" i="1"/>
  <c r="K20" i="1" s="1"/>
  <c r="L28" i="1"/>
  <c r="K28" i="1" s="1"/>
  <c r="L19" i="1"/>
  <c r="K19" i="1" s="1"/>
  <c r="M19" i="1" s="1"/>
  <c r="L27" i="1"/>
  <c r="K27" i="1" s="1"/>
  <c r="M27" i="1" s="1"/>
  <c r="L24" i="1"/>
  <c r="K24" i="1" s="1"/>
  <c r="M24" i="1" s="1"/>
  <c r="L32" i="1"/>
  <c r="K32" i="1" s="1"/>
  <c r="M32" i="1" s="1"/>
  <c r="N32" i="1" l="1"/>
  <c r="G32" i="1"/>
  <c r="O32" i="1"/>
  <c r="M34" i="1"/>
  <c r="M33" i="1"/>
  <c r="M81" i="1"/>
  <c r="M85" i="1"/>
  <c r="G73" i="1"/>
  <c r="O73" i="1"/>
  <c r="N73" i="1"/>
  <c r="G80" i="1"/>
  <c r="O80" i="1"/>
  <c r="N80" i="1"/>
  <c r="G19" i="1"/>
  <c r="O19" i="1"/>
  <c r="N19" i="1"/>
  <c r="M23" i="1"/>
  <c r="G76" i="1"/>
  <c r="O76" i="1"/>
  <c r="N76" i="1"/>
  <c r="M72" i="1"/>
  <c r="G84" i="1"/>
  <c r="O84" i="1"/>
  <c r="N84" i="1"/>
  <c r="M26" i="1"/>
  <c r="N79" i="1"/>
  <c r="G79" i="1"/>
  <c r="O79" i="1"/>
  <c r="M83" i="1"/>
  <c r="G25" i="1"/>
  <c r="O25" i="1"/>
  <c r="N25" i="1"/>
  <c r="N31" i="1"/>
  <c r="G31" i="1"/>
  <c r="O31" i="1"/>
  <c r="M28" i="1"/>
  <c r="M20" i="1"/>
  <c r="G18" i="1"/>
  <c r="N18" i="1"/>
  <c r="O18" i="1"/>
  <c r="O71" i="1"/>
  <c r="G71" i="1"/>
  <c r="N71" i="1"/>
  <c r="M75" i="1"/>
  <c r="O77" i="1"/>
  <c r="N77" i="1"/>
  <c r="G77" i="1"/>
  <c r="G30" i="1"/>
  <c r="N30" i="1"/>
  <c r="O30" i="1"/>
  <c r="M82" i="1"/>
  <c r="M86" i="1"/>
  <c r="M87" i="1"/>
  <c r="N24" i="1"/>
  <c r="O24" i="1"/>
  <c r="G24" i="1"/>
  <c r="G27" i="1"/>
  <c r="O27" i="1"/>
  <c r="N27" i="1"/>
  <c r="O29" i="1"/>
  <c r="G29" i="1"/>
  <c r="N29" i="1"/>
  <c r="G22" i="1"/>
  <c r="N22" i="1"/>
  <c r="O22" i="1"/>
  <c r="M21" i="1"/>
  <c r="M74" i="1"/>
  <c r="M78" i="1"/>
  <c r="O81" i="1" l="1"/>
  <c r="N81" i="1"/>
  <c r="G81" i="1"/>
  <c r="O85" i="1"/>
  <c r="N85" i="1"/>
  <c r="G85" i="1"/>
  <c r="N87" i="1"/>
  <c r="G87" i="1"/>
  <c r="O87" i="1"/>
  <c r="O20" i="1"/>
  <c r="N20" i="1"/>
  <c r="G20" i="1"/>
  <c r="O83" i="1"/>
  <c r="N83" i="1"/>
  <c r="G83" i="1"/>
  <c r="G72" i="1"/>
  <c r="O72" i="1"/>
  <c r="N72" i="1"/>
  <c r="G33" i="1"/>
  <c r="O33" i="1"/>
  <c r="N33" i="1"/>
  <c r="O86" i="1"/>
  <c r="N86" i="1"/>
  <c r="G86" i="1"/>
  <c r="O28" i="1"/>
  <c r="N28" i="1"/>
  <c r="G28" i="1"/>
  <c r="O34" i="1"/>
  <c r="G34" i="1"/>
  <c r="N34" i="1"/>
  <c r="K5" i="1"/>
  <c r="D32" i="3" s="1"/>
  <c r="O78" i="1"/>
  <c r="N78" i="1"/>
  <c r="G78" i="1"/>
  <c r="O75" i="1"/>
  <c r="N75" i="1"/>
  <c r="G75" i="1"/>
  <c r="G74" i="1"/>
  <c r="O74" i="1"/>
  <c r="N74" i="1"/>
  <c r="G82" i="1"/>
  <c r="O82" i="1"/>
  <c r="N82" i="1"/>
  <c r="O21" i="1"/>
  <c r="N21" i="1"/>
  <c r="G21" i="1"/>
  <c r="K6" i="1"/>
  <c r="E32" i="3" s="1"/>
  <c r="O26" i="1"/>
  <c r="G26" i="1"/>
  <c r="N26" i="1"/>
  <c r="N23" i="1"/>
  <c r="G23" i="1"/>
  <c r="O23" i="1"/>
</calcChain>
</file>

<file path=xl/sharedStrings.xml><?xml version="1.0" encoding="utf-8"?>
<sst xmlns="http://schemas.openxmlformats.org/spreadsheetml/2006/main" count="505" uniqueCount="179">
  <si>
    <t>Measured luminance values:</t>
  </si>
  <si>
    <t>DICOM 3.14 standard:</t>
  </si>
  <si>
    <t>testpattern</t>
  </si>
  <si>
    <t>Luminance</t>
  </si>
  <si>
    <t>JND</t>
  </si>
  <si>
    <t>deviation compared</t>
  </si>
  <si>
    <t>dL/L</t>
  </si>
  <si>
    <t>TG18-LN12-#</t>
  </si>
  <si>
    <t>p-value</t>
  </si>
  <si>
    <t>L</t>
  </si>
  <si>
    <t>j(L)</t>
  </si>
  <si>
    <t>to DICOM (%)</t>
  </si>
  <si>
    <t>Result contrast response left monitor:</t>
  </si>
  <si>
    <t>lineair relation between p-value and JND:</t>
  </si>
  <si>
    <t>a:</t>
  </si>
  <si>
    <t>b:</t>
  </si>
  <si>
    <t>Result contrast response right monitor:</t>
  </si>
  <si>
    <t>Result relation between p-value and JND-index:</t>
  </si>
  <si>
    <t>Left Monitor</t>
  </si>
  <si>
    <t>Right Monitor</t>
  </si>
  <si>
    <t>Instellingen</t>
  </si>
  <si>
    <t>Type monitor:</t>
  </si>
  <si>
    <t>Linker monitor:</t>
  </si>
  <si>
    <t>Rechter monitor:</t>
  </si>
  <si>
    <t>Resultaat</t>
  </si>
  <si>
    <t>Label grafiek:</t>
  </si>
  <si>
    <t>Grenswaarden (+/- %):</t>
  </si>
  <si>
    <t>Upper</t>
  </si>
  <si>
    <t>Lower</t>
  </si>
  <si>
    <t>Horizontale testpatronen (TG18 LPH)</t>
  </si>
  <si>
    <t>Uitvoering</t>
  </si>
  <si>
    <t>Opmerkingen</t>
  </si>
  <si>
    <t>Zijn alle lijnpatronen in het testpatroon TG18 LPH10 zichtbaar?</t>
  </si>
  <si>
    <t>&lt;&lt; kies &gt;&gt;</t>
  </si>
  <si>
    <t>Zijn alle lijnpatronen in het testpatroon TG18 LPH50 zichtbaar?</t>
  </si>
  <si>
    <t>Zijn alle lijnpatronen in het testpatroon TG18 LPH89 zichtbaar?</t>
  </si>
  <si>
    <t>Verticale testpatronen (TG18 LPV)</t>
  </si>
  <si>
    <t>Zijn alle lijnpatronen in het testpatroon TG18 LPV10 zichtbaar?</t>
  </si>
  <si>
    <t>Zijn alle lijnpatronen in het testpatroon TG18 LPV50 zichtbaar?</t>
  </si>
  <si>
    <t>Zijn alle lijnpatronen in het testpatroon TG18 LPV89 zichtbaar?</t>
  </si>
  <si>
    <t>Conclusie:</t>
  </si>
  <si>
    <t>Meting</t>
  </si>
  <si>
    <t>Grenswaarden:</t>
  </si>
  <si>
    <t>NB alleen voor diagnostisch primaire monitoren gedefinieerd</t>
  </si>
  <si>
    <t>Alle lijnpatronen moeten zichtbaar zijn</t>
  </si>
  <si>
    <t>Overzicht</t>
  </si>
  <si>
    <t>Algemeen</t>
  </si>
  <si>
    <t>Datum:</t>
  </si>
  <si>
    <t>Naam tester:</t>
  </si>
  <si>
    <t>Merk:</t>
  </si>
  <si>
    <t>Type:</t>
  </si>
  <si>
    <t>Serienummer:</t>
  </si>
  <si>
    <t>Locatie:</t>
  </si>
  <si>
    <t>Test</t>
  </si>
  <si>
    <t>Details monitor</t>
  </si>
  <si>
    <t>Aantal horizontale pixels:</t>
  </si>
  <si>
    <t>pixels</t>
  </si>
  <si>
    <t>Aantal verticale pixels:</t>
  </si>
  <si>
    <t>PFF</t>
  </si>
  <si>
    <t>Fout categorie</t>
  </si>
  <si>
    <t>Aantal gevonden dode pixels</t>
  </si>
  <si>
    <t>Locatie dode pixel (omschrijving)</t>
  </si>
  <si>
    <t>IEC</t>
  </si>
  <si>
    <t>DIN</t>
  </si>
  <si>
    <t>Categorie A</t>
  </si>
  <si>
    <t>Categorie B</t>
  </si>
  <si>
    <t>Categorie C</t>
  </si>
  <si>
    <t>Categorie D</t>
  </si>
  <si>
    <t>Maximaal aantal dode pixels</t>
  </si>
  <si>
    <t>&lt;= 1</t>
  </si>
  <si>
    <t>&lt;= 2</t>
  </si>
  <si>
    <t>None in the same cluster</t>
  </si>
  <si>
    <t>1 x PFF</t>
  </si>
  <si>
    <t>5 x PFF</t>
  </si>
  <si>
    <t>Grenswaarden IEC:</t>
  </si>
  <si>
    <t>Grenswaarden DIN:</t>
  </si>
  <si>
    <t>Werkplek met 1 monitor</t>
  </si>
  <si>
    <t>Zijn er niet uniforme gebieden van ± 1 cm en groter zichtbaar?</t>
  </si>
  <si>
    <t>Werkplek met meerdere monitoren</t>
  </si>
  <si>
    <t>Aanvullende test</t>
  </si>
  <si>
    <t>Aan alle onderstaande eisen moet worden voldaan</t>
  </si>
  <si>
    <t>Overzicht resultaten</t>
  </si>
  <si>
    <t>TG18 UNL10</t>
  </si>
  <si>
    <t>linker monitor</t>
  </si>
  <si>
    <t>rechter monitor</t>
  </si>
  <si>
    <t>upper left</t>
  </si>
  <si>
    <t>Cd/m2</t>
  </si>
  <si>
    <t>max. luminance afwijking:</t>
  </si>
  <si>
    <t>upper right</t>
  </si>
  <si>
    <t>afwijking hoeken:</t>
  </si>
  <si>
    <t>centre</t>
  </si>
  <si>
    <t>bottom left</t>
  </si>
  <si>
    <t>bottom right</t>
  </si>
  <si>
    <t>TG18 UNL80</t>
  </si>
  <si>
    <t>Grenswaarden (max):</t>
  </si>
  <si>
    <t>Algemene beeldkwaliteit en artefacten</t>
  </si>
  <si>
    <t>Staat het testpatroon gecentreerd in het midden van het actieve gedeelte van de monitor?</t>
  </si>
  <si>
    <t>Is het gehele testpatroon vrij van afwijkende patronen, flikkeringen, trillingen, ruis, afwijkingen in uniformiteit en artefacten?</t>
  </si>
  <si>
    <t>Gaan de grijswiggen staploos over van wit naar zwart. Zie figuur, onderdeel 1.</t>
  </si>
  <si>
    <t>Zijn de zwart-naar-wit en wit-naar-zwart overgangen duidelijk? Indien dit niet zo is, kan dat duiden op een ontoereikende bit diepte. Zie figuur, onderdeel 2.</t>
  </si>
  <si>
    <t>Lopen alle horizontale en verticale lijnen recht?</t>
  </si>
  <si>
    <t>Helderheid, reflectie, ruis en glare</t>
  </si>
  <si>
    <t>Zijn alle 16 contrastblokken afzonderlijk zichtbaar? Zie figuur, onderdeel 3.</t>
  </si>
  <si>
    <t>Luminantie response: Zijn alle kleine vierkantjes (figuur, onderdeel 4) in de hoeken van de 16 contrastblokken (figuur, onderdeel 3) zichtbaar? Doe dit in ieder geval voor de 97, 78, 59, 41, 22% en 9% contrastblokken (zie * in figuur, onderdeel 3).</t>
  </si>
  <si>
    <t>Zijn de 5% blokje en 95% blokjes met hetzelfde contrastperceptie zichtbaar? Zie figuur, onderdeel 5.</t>
  </si>
  <si>
    <t>Resolutie</t>
  </si>
  <si>
    <t>Zijn de hoog contrast lijnpaarpatronen in de 4 hoeken en in het centrum van het testpatroon afzonderlijk zichtbaar? Zie figuur, onderdeel 7.</t>
  </si>
  <si>
    <t>Worden de hoog contrast lijnpaarpatronen in de 4 hoeken en in het centrum van het testpatroon flikkervrij weergegeven? Zie figuur, onderdeel 7.</t>
  </si>
  <si>
    <t>Zijn de laag contrast lijnpaarpatronen in de 4 hoeken en in het centrum van het testpatroon afzonderlijk zichtbaar? Zie figuur, onderdeel 8.</t>
  </si>
  <si>
    <t>Worden de laag contrast lijnpaarpatronen in de 4 hoeken en in het centrum van het testpatroon flikkervrij weergegeven? Zie figuur, onderdeel 8.</t>
  </si>
  <si>
    <t>Luminance ratio</t>
  </si>
  <si>
    <t>Conclusie</t>
  </si>
  <si>
    <t>Grenswaarden (Lmax, min):</t>
  </si>
  <si>
    <t>Grenswaarden (L'min, max):</t>
  </si>
  <si>
    <t>Grenswaarden (LR, min):</t>
  </si>
  <si>
    <t>Linker monitor</t>
  </si>
  <si>
    <t>Rechter monitor</t>
  </si>
  <si>
    <t>Grenswaarde tussen monitoren (%):</t>
  </si>
  <si>
    <t>Verschil</t>
  </si>
  <si>
    <t>Lmax (Cd/m2)</t>
  </si>
  <si>
    <t>Lmin (Cd/m2)</t>
  </si>
  <si>
    <t>Lamb (Cd/m2)</t>
  </si>
  <si>
    <t>L'min (Cd/m2)</t>
  </si>
  <si>
    <t>§5.3 Lmax en Lmin</t>
  </si>
  <si>
    <t>§5.4 Luminance response: DICOM Grayscale Standard Display Function</t>
  </si>
  <si>
    <t>§5.5 Niet-uniformiteit</t>
  </si>
  <si>
    <t>Opmerking / probleem / oplossing</t>
  </si>
  <si>
    <t>§5.1 Omgevingslicht</t>
  </si>
  <si>
    <t>RC</t>
  </si>
  <si>
    <t>Lamb</t>
  </si>
  <si>
    <t>cd/m2</t>
  </si>
  <si>
    <t>Voorbeeld:</t>
  </si>
  <si>
    <t xml:space="preserve">Verlichtingssterkte </t>
  </si>
  <si>
    <t>(Lux)</t>
  </si>
  <si>
    <t>Directe meting</t>
  </si>
  <si>
    <t>Indirecte meting</t>
  </si>
  <si>
    <t>Meting 1</t>
  </si>
  <si>
    <t>Meting 2</t>
  </si>
  <si>
    <t>Meting 3</t>
  </si>
  <si>
    <t>Gemiddeld</t>
  </si>
  <si>
    <t>In dit tabblad worden geen grenswaarden gespecificeerd. De gevonden waarde voor het omgevingslicht wordt meegenomen in het tabblad Lmax en Lmin.</t>
  </si>
  <si>
    <t>Reflectiecoëfficiënt</t>
  </si>
  <si>
    <t>Iedere monitor heeft eigen een specifieke RC. De RC is bij de fabrikant op te vragen.</t>
  </si>
  <si>
    <t>Slechts een van onderstaande metingen hoeft ingevuld te worden.</t>
  </si>
  <si>
    <t>Mammografie</t>
  </si>
  <si>
    <t>$5.2 Globale evaluatie</t>
  </si>
  <si>
    <t>$5.3 Lmax en Lmin linker monitor</t>
  </si>
  <si>
    <t>$5.3 Lmax en Lmin, verschil tussen monitoren</t>
  </si>
  <si>
    <t>$5.4 Luminance response linker monitor</t>
  </si>
  <si>
    <t>$5.5 Niet-uniformiteit linker monitor</t>
  </si>
  <si>
    <t>$5.6 Kleuruniformiteit</t>
  </si>
  <si>
    <t>$5.7 Pixel fout evaluatie volgens IEC</t>
  </si>
  <si>
    <t>$5.7 Pixel fout evaluatie volgens DIN</t>
  </si>
  <si>
    <t>$5.8 Display resolution</t>
  </si>
  <si>
    <t>NB Alle gele velden dienen ingevuld te worden.</t>
  </si>
  <si>
    <t>Display runtime:</t>
  </si>
  <si>
    <t>Backlight runtime:</t>
  </si>
  <si>
    <t>Zijn er waarneembare kleurverschillen tussen de verschillende gebieden van de monitor?</t>
  </si>
  <si>
    <t>Zijn er aarneembare kleurverschillen tussen de verschillende gebieden van de monitor onder verschillende hoeken (tot ongeveer 45° van de midden-as in alle richtingen (onder, boven, links en rechts)?</t>
  </si>
  <si>
    <t>Zijn er waarneembare kleurverschillen tussen de verschillende monitoren op de werkplek?</t>
  </si>
  <si>
    <t>LET OP: zorg voordat de meting wordt uitgevoerd dat de monitor zonder omgevingslicht correctie is gekalibreerd! Zie WAD protocol §5.4.8.</t>
  </si>
  <si>
    <t>§5.2 Globale evaluatie - Linker monitor</t>
  </si>
  <si>
    <t>§5.2 Globale evaluatie - Rechter monitor</t>
  </si>
  <si>
    <t>Links</t>
  </si>
  <si>
    <t>Rechts</t>
  </si>
  <si>
    <t>§5.6 Kleuruniformiteit - Linker monitor</t>
  </si>
  <si>
    <t>§5.6 Kleuruniformiteit - Rechter monitor</t>
  </si>
  <si>
    <t>§5.7 Pixel fout evaluatie - Linker monitor</t>
  </si>
  <si>
    <t>§5.7 Pixel fout evaluatie - Rechter monitor</t>
  </si>
  <si>
    <t>§5.8 Display resolution - Rechter monitor</t>
  </si>
  <si>
    <t>§5.8 Display resolution - Linker monitor</t>
  </si>
  <si>
    <t>Tekst QUALITY CONTROL:
- Mammo: volledige tekst moet zichtbaar zijn in het witte en grijze vlak. 
- Diagnostisch: minimaal zichtbaar tot en met ‘CONTRO’
- Review: minimaal zichtbaar tot en met ‘CONTR’
in het witte, grijze en zwarte vlak. Zie figuur, onderdeel 6.</t>
  </si>
  <si>
    <t>Uitwerkingen werkblad - bij opstelling met 2 monitoren</t>
  </si>
  <si>
    <t>DISCLAIMER:</t>
  </si>
  <si>
    <t>De auteursrechten liggen bij de auteurs genoemd bij elk hoofdstuk en de NVKF. Er mogen geen teksten of tekstdelen worden overgenomen dan na uitdrukkelijke toestemming van deze auteurs en steeds met volledige bronverwijzing naar deze Aanbevelingen.</t>
  </si>
  <si>
    <t>Dit document geeft een overzicht van tests en controles die beschikbaar zijn om de werking en performance van beeldvormende systemen te controleren. Door de continue evolutie van de techniek verandert het palet aan testen. Het overzicht is daarom niet uitputtend en geschreven op de stand van de techniek van eind 2015.</t>
  </si>
  <si>
    <t>De gegeven aanbevelingen zijn, om bovengenoemde redenen, beperkt in hun reikwijdte: ze hebben een algemeen karakter en kunnen niet zonder meer worden toegepast in elke situatie. Welke combinatie van tests in de praktijk gebruikt zal worden hangt af van de wijze van gebruik en de specifieke eigenschappen van het te controleren systeem. Dit document beoogt de informatie aan te leveren die de klinisch fysicus ondersteuning biedt bij het, zo nodig in overleg met de gebruikers, zelfstandig opstellen van een verantwoord locatie-specifiek programma voor acceptatie en kwaliteitscontrole. De klinisch fysicus en de instelling zal altijd zelf verantwoordelijk zijn en blijven bij de keuze om deze aanbevelingen geheel of ten dele na te volgen.</t>
  </si>
  <si>
    <t>De NVKF en de auteurs sluiten iedere aansprakelijkheid in verband met het in deze aanbevelingen gestelde, uit welke hoofde ook, uit.</t>
  </si>
  <si>
    <t>NVKF Leidraad Kwaliteitscontrole Diagnostische Monitoren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</si>
</sst>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7">
    <font>
      <sz val="10"/>
      <name val="Arial"/>
    </font>
    <font>
      <b/>
      <u/>
      <sz val="10"/>
      <name val="Arial"/>
      <family val="2"/>
    </font>
    <font>
      <b/>
      <sz val="10"/>
      <color indexed="8"/>
      <name val="Arial"/>
      <family val="2"/>
    </font>
    <font>
      <sz val="10"/>
      <color indexed="8"/>
      <name val="Albany"/>
      <family val="2"/>
    </font>
    <font>
      <b/>
      <sz val="10"/>
      <name val="Arial"/>
      <family val="2"/>
    </font>
    <font>
      <sz val="10"/>
      <color indexed="8"/>
      <name val="Arial"/>
      <family val="2"/>
    </font>
    <font>
      <b/>
      <sz val="11"/>
      <name val="Arial"/>
      <family val="2"/>
    </font>
    <font>
      <u/>
      <sz val="10"/>
      <color theme="10"/>
      <name val="Arial"/>
      <family val="2"/>
    </font>
    <font>
      <u/>
      <sz val="10"/>
      <color theme="11"/>
      <name val="Arial"/>
      <family val="2"/>
    </font>
    <font>
      <b/>
      <sz val="12"/>
      <color indexed="8"/>
      <name val="Arial"/>
      <family val="2"/>
    </font>
    <font>
      <b/>
      <sz val="14"/>
      <name val="Arial"/>
      <family val="2"/>
    </font>
    <font>
      <b/>
      <sz val="16"/>
      <name val="Arial"/>
      <family val="2"/>
    </font>
    <font>
      <sz val="16"/>
      <name val="Arial"/>
      <family val="2"/>
    </font>
    <font>
      <sz val="14"/>
      <name val="Arial"/>
      <family val="2"/>
    </font>
    <font>
      <i/>
      <sz val="11"/>
      <name val="Arial"/>
      <family val="2"/>
    </font>
    <font>
      <sz val="11"/>
      <name val="Arial"/>
      <family val="2"/>
    </font>
    <font>
      <b/>
      <sz val="12"/>
      <name val="Arial"/>
      <family val="2"/>
    </font>
    <font>
      <i/>
      <sz val="10"/>
      <name val="Arial"/>
      <family val="2"/>
    </font>
    <font>
      <sz val="10"/>
      <name val="Arial"/>
      <family val="2"/>
    </font>
    <font>
      <b/>
      <sz val="8"/>
      <name val="Arial"/>
      <family val="2"/>
    </font>
    <font>
      <b/>
      <sz val="9"/>
      <name val="Arial"/>
      <family val="2"/>
    </font>
    <font>
      <b/>
      <sz val="10"/>
      <color indexed="8"/>
      <name val="Albany"/>
      <family val="2"/>
    </font>
    <font>
      <b/>
      <sz val="10"/>
      <color rgb="FF000000"/>
      <name val="Arial"/>
      <family val="2"/>
    </font>
    <font>
      <i/>
      <sz val="10"/>
      <color indexed="8"/>
      <name val="Arial"/>
      <family val="2"/>
    </font>
    <font>
      <b/>
      <i/>
      <sz val="11"/>
      <name val="Arial"/>
      <family val="2"/>
    </font>
    <font>
      <sz val="24"/>
      <color theme="3"/>
      <name val="Arial"/>
      <family val="2"/>
    </font>
    <font>
      <sz val="16"/>
      <color theme="3"/>
      <name val="Arial"/>
      <family val="2"/>
    </font>
  </fonts>
  <fills count="20">
    <fill>
      <patternFill patternType="none"/>
    </fill>
    <fill>
      <patternFill patternType="gray125"/>
    </fill>
    <fill>
      <patternFill patternType="solid">
        <fgColor theme="0"/>
        <bgColor indexed="64"/>
      </patternFill>
    </fill>
    <fill>
      <patternFill patternType="solid">
        <fgColor theme="0"/>
        <bgColor indexed="14"/>
      </patternFill>
    </fill>
    <fill>
      <patternFill patternType="solid">
        <fgColor theme="0" tint="-0.249977111117893"/>
        <bgColor indexed="14"/>
      </patternFill>
    </fill>
    <fill>
      <patternFill patternType="solid">
        <fgColor theme="0" tint="-0.249977111117893"/>
        <bgColor indexed="64"/>
      </patternFill>
    </fill>
    <fill>
      <patternFill patternType="solid">
        <fgColor rgb="FFFFFF00"/>
        <bgColor indexed="14"/>
      </patternFill>
    </fill>
    <fill>
      <patternFill patternType="solid">
        <fgColor theme="4"/>
        <bgColor indexed="14"/>
      </patternFill>
    </fill>
    <fill>
      <patternFill patternType="solid">
        <fgColor theme="4"/>
        <bgColor indexed="64"/>
      </patternFill>
    </fill>
    <fill>
      <patternFill patternType="solid">
        <fgColor theme="5"/>
        <bgColor indexed="14"/>
      </patternFill>
    </fill>
    <fill>
      <patternFill patternType="solid">
        <fgColor theme="5"/>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rgb="FFFFFF00"/>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theme="5" tint="0.39997558519241921"/>
        <bgColor indexed="64"/>
      </patternFill>
    </fill>
    <fill>
      <patternFill patternType="solid">
        <fgColor theme="4" tint="0.39997558519241921"/>
        <bgColor indexed="64"/>
      </patternFill>
    </fill>
  </fills>
  <borders count="12">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n">
        <color auto="1"/>
      </bottom>
      <diagonal/>
    </border>
  </borders>
  <cellStyleXfs count="252">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18"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39">
    <xf numFmtId="0" fontId="0" fillId="0" borderId="0" xfId="0"/>
    <xf numFmtId="0" fontId="5" fillId="6" borderId="0" xfId="0" applyFont="1" applyFill="1" applyBorder="1" applyAlignment="1" applyProtection="1">
      <alignment horizontal="center"/>
      <protection locked="0"/>
    </xf>
    <xf numFmtId="0" fontId="11" fillId="11" borderId="0" xfId="0" applyFont="1" applyFill="1" applyAlignment="1" applyProtection="1">
      <alignment vertical="center"/>
    </xf>
    <xf numFmtId="0" fontId="12" fillId="11" borderId="0" xfId="0" applyFont="1" applyFill="1" applyAlignment="1" applyProtection="1">
      <alignment vertical="center"/>
    </xf>
    <xf numFmtId="0" fontId="0" fillId="2" borderId="0" xfId="0" applyFill="1" applyProtection="1"/>
    <xf numFmtId="0" fontId="1" fillId="2" borderId="0" xfId="0" applyFont="1" applyFill="1" applyProtection="1"/>
    <xf numFmtId="0" fontId="6" fillId="12" borderId="0" xfId="0" applyFont="1" applyFill="1" applyAlignment="1" applyProtection="1">
      <alignment vertical="center"/>
    </xf>
    <xf numFmtId="0" fontId="0" fillId="12" borderId="0" xfId="0" applyFill="1" applyProtection="1"/>
    <xf numFmtId="0" fontId="0" fillId="13" borderId="2" xfId="0" applyFill="1" applyBorder="1" applyProtection="1"/>
    <xf numFmtId="0" fontId="0" fillId="13" borderId="3" xfId="0" applyFill="1" applyBorder="1" applyProtection="1"/>
    <xf numFmtId="0" fontId="2" fillId="2" borderId="0" xfId="0" applyFont="1" applyFill="1" applyAlignment="1" applyProtection="1">
      <alignment horizontal="left"/>
    </xf>
    <xf numFmtId="0" fontId="3" fillId="2" borderId="0" xfId="0" applyFont="1" applyFill="1" applyAlignment="1" applyProtection="1">
      <alignment horizontal="center"/>
    </xf>
    <xf numFmtId="0" fontId="0" fillId="13" borderId="0" xfId="0" applyFill="1" applyBorder="1" applyProtection="1"/>
    <xf numFmtId="0" fontId="0" fillId="13" borderId="5" xfId="0" applyFill="1" applyBorder="1" applyProtection="1"/>
    <xf numFmtId="165" fontId="0" fillId="2" borderId="0" xfId="0" applyNumberFormat="1" applyFill="1" applyProtection="1"/>
    <xf numFmtId="1" fontId="0" fillId="2" borderId="0" xfId="0" applyNumberFormat="1" applyFill="1" applyAlignment="1" applyProtection="1">
      <alignment horizontal="left"/>
    </xf>
    <xf numFmtId="0" fontId="0" fillId="2" borderId="0" xfId="0" applyNumberFormat="1" applyFill="1" applyProtection="1"/>
    <xf numFmtId="0" fontId="2" fillId="3" borderId="0" xfId="0" applyFont="1" applyFill="1" applyAlignment="1" applyProtection="1">
      <alignment horizontal="left"/>
    </xf>
    <xf numFmtId="0" fontId="3" fillId="3" borderId="0" xfId="0" applyFont="1" applyFill="1" applyAlignment="1" applyProtection="1">
      <alignment horizontal="center"/>
    </xf>
    <xf numFmtId="0" fontId="9" fillId="7" borderId="0" xfId="0" applyFont="1" applyFill="1" applyAlignment="1" applyProtection="1">
      <alignment horizontal="left" vertical="center"/>
    </xf>
    <xf numFmtId="0" fontId="3" fillId="7" borderId="0" xfId="0" applyFont="1" applyFill="1" applyAlignment="1" applyProtection="1">
      <alignment horizontal="center"/>
    </xf>
    <xf numFmtId="0" fontId="0" fillId="8" borderId="0" xfId="0" applyFill="1" applyProtection="1"/>
    <xf numFmtId="0" fontId="3" fillId="8" borderId="0" xfId="0" applyFont="1" applyFill="1" applyAlignment="1" applyProtection="1">
      <alignment horizontal="center"/>
    </xf>
    <xf numFmtId="0" fontId="9" fillId="3" borderId="0" xfId="0" applyFont="1" applyFill="1" applyAlignment="1" applyProtection="1">
      <alignment horizontal="left"/>
    </xf>
    <xf numFmtId="0" fontId="3" fillId="4" borderId="0" xfId="0" applyFont="1" applyFill="1" applyAlignment="1" applyProtection="1">
      <alignment horizontal="left"/>
    </xf>
    <xf numFmtId="0" fontId="3" fillId="4" borderId="0" xfId="0" applyFont="1" applyFill="1" applyAlignment="1" applyProtection="1">
      <alignment horizontal="center"/>
    </xf>
    <xf numFmtId="0" fontId="0" fillId="5" borderId="0" xfId="0" applyFill="1" applyProtection="1"/>
    <xf numFmtId="0" fontId="3" fillId="5" borderId="0" xfId="0" applyFont="1" applyFill="1" applyAlignment="1" applyProtection="1">
      <alignment horizontal="center"/>
    </xf>
    <xf numFmtId="0" fontId="2" fillId="4" borderId="0" xfId="0" applyFont="1" applyFill="1" applyAlignment="1" applyProtection="1">
      <alignment horizontal="left"/>
    </xf>
    <xf numFmtId="0" fontId="4" fillId="5" borderId="0" xfId="0" applyFont="1" applyFill="1" applyProtection="1"/>
    <xf numFmtId="0" fontId="3" fillId="4" borderId="0" xfId="0" applyFont="1" applyFill="1" applyBorder="1" applyAlignment="1" applyProtection="1">
      <alignment horizontal="center"/>
    </xf>
    <xf numFmtId="0" fontId="0" fillId="5" borderId="0" xfId="0" applyFill="1" applyAlignment="1" applyProtection="1">
      <alignment horizontal="center"/>
    </xf>
    <xf numFmtId="9" fontId="0" fillId="5" borderId="0" xfId="0" quotePrefix="1" applyNumberFormat="1" applyFill="1" applyAlignment="1" applyProtection="1">
      <alignment horizontal="center"/>
    </xf>
    <xf numFmtId="164" fontId="3" fillId="4" borderId="0" xfId="0" applyNumberFormat="1" applyFont="1" applyFill="1" applyBorder="1" applyAlignment="1" applyProtection="1">
      <alignment horizontal="center"/>
    </xf>
    <xf numFmtId="164" fontId="3" fillId="4" borderId="0" xfId="0" applyNumberFormat="1" applyFont="1" applyFill="1" applyAlignment="1" applyProtection="1">
      <alignment horizontal="center"/>
    </xf>
    <xf numFmtId="2" fontId="2" fillId="4" borderId="0" xfId="0" applyNumberFormat="1" applyFont="1" applyFill="1" applyBorder="1" applyAlignment="1" applyProtection="1">
      <alignment horizontal="center"/>
    </xf>
    <xf numFmtId="165" fontId="3" fillId="4" borderId="0" xfId="0" applyNumberFormat="1" applyFont="1" applyFill="1" applyAlignment="1" applyProtection="1">
      <alignment horizontal="center"/>
    </xf>
    <xf numFmtId="2" fontId="5" fillId="4" borderId="0" xfId="0" applyNumberFormat="1" applyFont="1" applyFill="1" applyBorder="1" applyAlignment="1" applyProtection="1">
      <alignment horizontal="center"/>
    </xf>
    <xf numFmtId="164" fontId="0" fillId="5" borderId="0" xfId="0" applyNumberFormat="1" applyFill="1" applyProtection="1"/>
    <xf numFmtId="164" fontId="3" fillId="2" borderId="0" xfId="0" applyNumberFormat="1" applyFont="1" applyFill="1" applyAlignment="1" applyProtection="1">
      <alignment horizontal="center"/>
    </xf>
    <xf numFmtId="0" fontId="5" fillId="4" borderId="0" xfId="0" applyFont="1" applyFill="1" applyBorder="1" applyAlignment="1" applyProtection="1">
      <alignment horizontal="center"/>
    </xf>
    <xf numFmtId="0" fontId="3" fillId="3" borderId="0" xfId="0" applyFont="1" applyFill="1" applyBorder="1" applyAlignment="1" applyProtection="1">
      <alignment horizontal="center"/>
    </xf>
    <xf numFmtId="0" fontId="3" fillId="3" borderId="0" xfId="0" applyNumberFormat="1" applyFont="1" applyFill="1" applyAlignment="1" applyProtection="1">
      <alignment horizontal="center"/>
    </xf>
    <xf numFmtId="0" fontId="6" fillId="2" borderId="0" xfId="0" applyFont="1" applyFill="1" applyProtection="1"/>
    <xf numFmtId="0" fontId="3" fillId="3" borderId="0" xfId="0" applyNumberFormat="1" applyFont="1" applyFill="1" applyBorder="1" applyAlignment="1" applyProtection="1">
      <alignment horizontal="center"/>
    </xf>
    <xf numFmtId="0" fontId="0" fillId="2" borderId="0" xfId="0" applyFill="1" applyAlignment="1" applyProtection="1">
      <alignment horizontal="right"/>
    </xf>
    <xf numFmtId="0" fontId="9" fillId="9" borderId="0" xfId="0" applyFont="1" applyFill="1" applyAlignment="1" applyProtection="1">
      <alignment horizontal="left" vertical="center"/>
    </xf>
    <xf numFmtId="0" fontId="3" fillId="9" borderId="0" xfId="0" applyFont="1" applyFill="1" applyAlignment="1" applyProtection="1">
      <alignment horizontal="center"/>
    </xf>
    <xf numFmtId="0" fontId="0" fillId="10" borderId="0" xfId="0" applyFill="1" applyProtection="1"/>
    <xf numFmtId="0" fontId="3" fillId="10" borderId="0" xfId="0" applyFont="1" applyFill="1" applyAlignment="1" applyProtection="1">
      <alignment horizontal="center"/>
    </xf>
    <xf numFmtId="0" fontId="3" fillId="3" borderId="0" xfId="0" applyFont="1" applyFill="1" applyAlignment="1" applyProtection="1">
      <alignment horizontal="left"/>
    </xf>
    <xf numFmtId="0" fontId="3" fillId="4" borderId="0" xfId="0" applyNumberFormat="1" applyFont="1" applyFill="1" applyAlignment="1" applyProtection="1">
      <alignment horizontal="center"/>
    </xf>
    <xf numFmtId="0" fontId="0" fillId="5" borderId="0" xfId="0" applyNumberFormat="1" applyFill="1" applyProtection="1"/>
    <xf numFmtId="0" fontId="14" fillId="15" borderId="0" xfId="0" applyFont="1" applyFill="1" applyAlignment="1" applyProtection="1">
      <alignment horizontal="left" wrapText="1"/>
    </xf>
    <xf numFmtId="0" fontId="0" fillId="15" borderId="0" xfId="0" applyFill="1" applyProtection="1"/>
    <xf numFmtId="0" fontId="14" fillId="15" borderId="0" xfId="0" applyFont="1" applyFill="1" applyAlignment="1" applyProtection="1">
      <alignment horizontal="center" wrapText="1"/>
    </xf>
    <xf numFmtId="0" fontId="15" fillId="16" borderId="0" xfId="0" applyFont="1" applyFill="1" applyAlignment="1" applyProtection="1">
      <alignment horizontal="left" vertical="center" wrapText="1"/>
      <protection locked="0"/>
    </xf>
    <xf numFmtId="0" fontId="15" fillId="15" borderId="0" xfId="0" applyFont="1" applyFill="1" applyAlignment="1" applyProtection="1">
      <alignment horizontal="left" vertical="center" wrapText="1"/>
      <protection locked="0"/>
    </xf>
    <xf numFmtId="0" fontId="15" fillId="15" borderId="0" xfId="0" applyFont="1" applyFill="1" applyAlignment="1" applyProtection="1">
      <alignment horizontal="left" wrapText="1"/>
    </xf>
    <xf numFmtId="0" fontId="15" fillId="15" borderId="0" xfId="0" applyFont="1" applyFill="1" applyAlignment="1" applyProtection="1">
      <alignment horizontal="center" vertical="center" wrapText="1"/>
    </xf>
    <xf numFmtId="0" fontId="15" fillId="15" borderId="0" xfId="0" applyFont="1" applyFill="1" applyAlignment="1" applyProtection="1">
      <alignment horizontal="left" vertical="center" wrapText="1"/>
    </xf>
    <xf numFmtId="0" fontId="0" fillId="2" borderId="0" xfId="0" applyFill="1"/>
    <xf numFmtId="0" fontId="15" fillId="14" borderId="0" xfId="0" applyFont="1" applyFill="1" applyAlignment="1" applyProtection="1">
      <alignment horizontal="center" vertical="center" wrapText="1"/>
      <protection locked="0"/>
    </xf>
    <xf numFmtId="0" fontId="0" fillId="2" borderId="0" xfId="0" applyFill="1" applyAlignment="1">
      <alignment vertical="center"/>
    </xf>
    <xf numFmtId="0" fontId="6" fillId="0" borderId="0" xfId="0" applyFont="1" applyFill="1" applyBorder="1" applyAlignment="1" applyProtection="1">
      <alignment horizontal="left" vertical="center"/>
    </xf>
    <xf numFmtId="0" fontId="6" fillId="2" borderId="0" xfId="0" applyFont="1" applyFill="1"/>
    <xf numFmtId="0" fontId="15" fillId="2" borderId="0" xfId="0" applyFont="1" applyFill="1"/>
    <xf numFmtId="0" fontId="4" fillId="15" borderId="0" xfId="0" applyFont="1" applyFill="1" applyProtection="1"/>
    <xf numFmtId="0" fontId="6" fillId="15" borderId="0" xfId="0" applyFont="1" applyFill="1" applyAlignment="1" applyProtection="1">
      <alignment horizontal="left" wrapText="1"/>
    </xf>
    <xf numFmtId="0" fontId="15" fillId="16" borderId="0" xfId="0" applyFont="1" applyFill="1" applyAlignment="1" applyProtection="1">
      <alignment horizontal="left" vertical="center" wrapText="1"/>
    </xf>
    <xf numFmtId="0" fontId="15" fillId="16" borderId="0" xfId="0" applyFont="1" applyFill="1" applyAlignment="1" applyProtection="1">
      <alignment vertical="center" wrapText="1"/>
    </xf>
    <xf numFmtId="0" fontId="15" fillId="15" borderId="0" xfId="0" applyFont="1" applyFill="1" applyAlignment="1" applyProtection="1">
      <alignment vertical="center" wrapText="1"/>
    </xf>
    <xf numFmtId="0" fontId="0" fillId="15" borderId="0" xfId="0" applyFont="1" applyFill="1" applyProtection="1"/>
    <xf numFmtId="0" fontId="0" fillId="2" borderId="0" xfId="0" applyFont="1" applyFill="1"/>
    <xf numFmtId="0" fontId="0" fillId="14" borderId="0" xfId="0" applyFont="1" applyFill="1" applyProtection="1">
      <protection locked="0"/>
    </xf>
    <xf numFmtId="2" fontId="0" fillId="15" borderId="0" xfId="0" applyNumberFormat="1" applyFont="1" applyFill="1" applyProtection="1"/>
    <xf numFmtId="0" fontId="4" fillId="15" borderId="0" xfId="0" applyFont="1" applyFill="1" applyAlignment="1" applyProtection="1">
      <alignment horizontal="left" wrapText="1"/>
    </xf>
    <xf numFmtId="0" fontId="4" fillId="15" borderId="0" xfId="0" applyFont="1" applyFill="1" applyAlignment="1" applyProtection="1">
      <alignment horizontal="center" wrapText="1"/>
    </xf>
    <xf numFmtId="0" fontId="0" fillId="16" borderId="0" xfId="0" applyFont="1" applyFill="1" applyAlignment="1" applyProtection="1">
      <alignment horizontal="left" vertical="center" wrapText="1"/>
    </xf>
    <xf numFmtId="0" fontId="0" fillId="14" borderId="0" xfId="0" applyFont="1" applyFill="1" applyAlignment="1" applyProtection="1">
      <alignment horizontal="center" vertical="center" wrapText="1"/>
      <protection locked="0"/>
    </xf>
    <xf numFmtId="0" fontId="4" fillId="16" borderId="0" xfId="0" applyFont="1" applyFill="1" applyAlignment="1" applyProtection="1">
      <alignment horizontal="center" vertical="center" wrapText="1"/>
    </xf>
    <xf numFmtId="0" fontId="0" fillId="16" borderId="0" xfId="0" applyFont="1" applyFill="1" applyAlignment="1" applyProtection="1">
      <alignment vertical="center" wrapText="1"/>
    </xf>
    <xf numFmtId="0" fontId="0" fillId="15" borderId="0" xfId="0" applyFont="1" applyFill="1" applyAlignment="1" applyProtection="1">
      <alignment horizontal="left" vertical="center" wrapText="1"/>
    </xf>
    <xf numFmtId="0" fontId="0" fillId="15" borderId="0" xfId="0" applyFont="1" applyFill="1" applyAlignment="1" applyProtection="1">
      <alignment vertical="center" wrapText="1"/>
    </xf>
    <xf numFmtId="0" fontId="0" fillId="15" borderId="0" xfId="0" applyFont="1" applyFill="1" applyBorder="1" applyAlignment="1" applyProtection="1">
      <alignment horizontal="left"/>
    </xf>
    <xf numFmtId="0" fontId="0" fillId="15" borderId="0" xfId="0" applyFont="1" applyFill="1" applyBorder="1" applyAlignment="1" applyProtection="1">
      <alignment horizontal="center"/>
    </xf>
    <xf numFmtId="0" fontId="17" fillId="15" borderId="0" xfId="0" applyFont="1" applyFill="1" applyAlignment="1" applyProtection="1">
      <alignment horizontal="left" wrapText="1"/>
    </xf>
    <xf numFmtId="0" fontId="4" fillId="15" borderId="0" xfId="0" applyFont="1" applyFill="1" applyAlignment="1" applyProtection="1">
      <alignment horizontal="right" wrapText="1"/>
    </xf>
    <xf numFmtId="0" fontId="4" fillId="2" borderId="0" xfId="0" applyFont="1" applyFill="1" applyAlignment="1" applyProtection="1">
      <alignment horizontal="center" vertical="center" wrapText="1"/>
    </xf>
    <xf numFmtId="0" fontId="4" fillId="2" borderId="0" xfId="0" applyFont="1" applyFill="1" applyProtection="1"/>
    <xf numFmtId="0" fontId="6" fillId="2" borderId="0" xfId="0" applyFont="1" applyFill="1" applyBorder="1" applyAlignment="1" applyProtection="1">
      <alignment horizontal="left" vertical="center"/>
    </xf>
    <xf numFmtId="0" fontId="14" fillId="2" borderId="0" xfId="0" applyFont="1" applyFill="1" applyAlignment="1" applyProtection="1">
      <alignment horizontal="left" wrapText="1"/>
    </xf>
    <xf numFmtId="0" fontId="14" fillId="2" borderId="0" xfId="0" applyFont="1" applyFill="1" applyAlignment="1" applyProtection="1">
      <alignment horizontal="center" wrapText="1"/>
    </xf>
    <xf numFmtId="0" fontId="15" fillId="2" borderId="0" xfId="0" applyFont="1" applyFill="1" applyAlignment="1" applyProtection="1">
      <alignment horizontal="left" vertical="center" wrapText="1"/>
    </xf>
    <xf numFmtId="0" fontId="16" fillId="2" borderId="0" xfId="0" applyFont="1" applyFill="1" applyAlignment="1" applyProtection="1">
      <alignment horizontal="center" wrapText="1"/>
    </xf>
    <xf numFmtId="0" fontId="15" fillId="2" borderId="0" xfId="0" applyFont="1" applyFill="1" applyAlignment="1" applyProtection="1">
      <alignment horizontal="left" wrapText="1"/>
    </xf>
    <xf numFmtId="0" fontId="15" fillId="2" borderId="0" xfId="0" applyFont="1" applyFill="1" applyAlignment="1" applyProtection="1">
      <alignment horizontal="center" vertical="center" wrapText="1"/>
    </xf>
    <xf numFmtId="0" fontId="15" fillId="2" borderId="0" xfId="0" applyFont="1" applyFill="1" applyAlignment="1" applyProtection="1">
      <alignment vertical="center" wrapText="1"/>
      <protection locked="0"/>
    </xf>
    <xf numFmtId="0" fontId="4" fillId="2" borderId="0" xfId="0" applyFont="1" applyFill="1" applyAlignment="1" applyProtection="1">
      <alignment horizontal="left"/>
    </xf>
    <xf numFmtId="0" fontId="12" fillId="13" borderId="1" xfId="0" applyFont="1" applyFill="1" applyBorder="1" applyAlignment="1" applyProtection="1">
      <alignment horizontal="left" vertical="center"/>
    </xf>
    <xf numFmtId="0" fontId="12" fillId="13" borderId="2" xfId="0" applyFont="1" applyFill="1" applyBorder="1" applyAlignment="1" applyProtection="1">
      <alignment horizontal="left" vertical="center"/>
    </xf>
    <xf numFmtId="0" fontId="12" fillId="13" borderId="4" xfId="0" applyFont="1" applyFill="1" applyBorder="1" applyAlignment="1" applyProtection="1">
      <alignment horizontal="left" vertical="center"/>
    </xf>
    <xf numFmtId="0" fontId="12" fillId="13" borderId="0"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7" xfId="0" applyFont="1" applyFill="1" applyBorder="1" applyAlignment="1" applyProtection="1">
      <alignment horizontal="left" vertical="center"/>
    </xf>
    <xf numFmtId="0" fontId="13" fillId="2" borderId="4" xfId="0" applyFont="1" applyFill="1" applyBorder="1" applyAlignment="1" applyProtection="1">
      <alignment horizontal="left" vertical="center"/>
    </xf>
    <xf numFmtId="0" fontId="13" fillId="2" borderId="0" xfId="0" applyFont="1" applyFill="1" applyBorder="1" applyAlignment="1" applyProtection="1">
      <alignment horizontal="left" vertical="center"/>
    </xf>
    <xf numFmtId="0" fontId="14" fillId="15" borderId="0" xfId="0" applyFont="1" applyFill="1" applyAlignment="1" applyProtection="1">
      <alignment horizontal="left" wrapText="1"/>
    </xf>
    <xf numFmtId="0" fontId="0" fillId="15" borderId="0" xfId="0" applyFill="1" applyProtection="1">
      <protection locked="0"/>
    </xf>
    <xf numFmtId="0" fontId="3" fillId="15" borderId="0" xfId="0" applyFont="1" applyFill="1" applyAlignment="1" applyProtection="1">
      <alignment horizontal="center"/>
      <protection locked="0"/>
    </xf>
    <xf numFmtId="0" fontId="0" fillId="15" borderId="0" xfId="0" applyFill="1" applyAlignment="1" applyProtection="1">
      <alignment horizontal="center"/>
      <protection locked="0"/>
    </xf>
    <xf numFmtId="0" fontId="3" fillId="15" borderId="0" xfId="0" applyFont="1" applyFill="1" applyAlignment="1" applyProtection="1">
      <alignment horizontal="center"/>
    </xf>
    <xf numFmtId="0" fontId="0" fillId="15" borderId="0" xfId="0" quotePrefix="1" applyFill="1" applyAlignment="1" applyProtection="1">
      <alignment horizontal="center"/>
      <protection locked="0"/>
    </xf>
    <xf numFmtId="0" fontId="4" fillId="15" borderId="0" xfId="0" applyFont="1" applyFill="1" applyAlignment="1" applyProtection="1">
      <alignment horizontal="center"/>
    </xf>
    <xf numFmtId="0" fontId="4" fillId="15" borderId="0" xfId="0" applyFont="1" applyFill="1" applyAlignment="1" applyProtection="1">
      <alignment horizontal="right"/>
    </xf>
    <xf numFmtId="164" fontId="3" fillId="15" borderId="0" xfId="0" applyNumberFormat="1" applyFont="1" applyFill="1" applyAlignment="1" applyProtection="1">
      <alignment horizontal="center"/>
    </xf>
    <xf numFmtId="0" fontId="0" fillId="17" borderId="9" xfId="0" applyFill="1" applyBorder="1" applyAlignment="1" applyProtection="1">
      <alignment horizontal="center"/>
    </xf>
    <xf numFmtId="0" fontId="18" fillId="15" borderId="0" xfId="0" applyFont="1" applyFill="1" applyAlignment="1" applyProtection="1">
      <alignment horizontal="left"/>
    </xf>
    <xf numFmtId="2" fontId="16" fillId="15" borderId="0" xfId="0" applyNumberFormat="1" applyFont="1" applyFill="1" applyBorder="1" applyAlignment="1" applyProtection="1">
      <alignment horizontal="center"/>
    </xf>
    <xf numFmtId="0" fontId="19" fillId="15" borderId="0" xfId="0" applyFont="1" applyFill="1" applyProtection="1"/>
    <xf numFmtId="164" fontId="0" fillId="15" borderId="0" xfId="0" applyNumberFormat="1" applyFill="1" applyProtection="1"/>
    <xf numFmtId="164" fontId="3" fillId="15" borderId="0" xfId="0" applyNumberFormat="1" applyFont="1" applyFill="1" applyAlignment="1" applyProtection="1">
      <alignment horizontal="center"/>
      <protection locked="0"/>
    </xf>
    <xf numFmtId="1" fontId="20" fillId="15" borderId="0" xfId="113" applyNumberFormat="1" applyFont="1" applyFill="1" applyProtection="1"/>
    <xf numFmtId="164" fontId="21" fillId="15" borderId="0" xfId="0" applyNumberFormat="1" applyFont="1" applyFill="1" applyAlignment="1" applyProtection="1">
      <alignment horizontal="center"/>
      <protection locked="0"/>
    </xf>
    <xf numFmtId="0" fontId="4" fillId="15" borderId="0" xfId="0" applyFont="1" applyFill="1" applyProtection="1">
      <protection locked="0"/>
    </xf>
    <xf numFmtId="0" fontId="0" fillId="15" borderId="0" xfId="0" applyFill="1" applyAlignment="1" applyProtection="1">
      <alignment vertical="center"/>
      <protection locked="0"/>
    </xf>
    <xf numFmtId="0" fontId="1" fillId="15" borderId="0" xfId="0" applyFont="1" applyFill="1" applyBorder="1" applyProtection="1"/>
    <xf numFmtId="0" fontId="0" fillId="15" borderId="0" xfId="0" applyFill="1" applyBorder="1" applyProtection="1"/>
    <xf numFmtId="0" fontId="4" fillId="18" borderId="0" xfId="0" applyFont="1" applyFill="1" applyAlignment="1" applyProtection="1">
      <alignment vertical="center"/>
    </xf>
    <xf numFmtId="0" fontId="0" fillId="18" borderId="0" xfId="0" applyFill="1" applyProtection="1"/>
    <xf numFmtId="9" fontId="0" fillId="2" borderId="0" xfId="0" applyNumberFormat="1" applyFill="1" applyAlignment="1" applyProtection="1">
      <alignment horizontal="left"/>
    </xf>
    <xf numFmtId="10" fontId="0" fillId="15" borderId="0" xfId="113" applyNumberFormat="1" applyFont="1" applyFill="1" applyAlignment="1" applyProtection="1">
      <alignment horizontal="center"/>
    </xf>
    <xf numFmtId="0" fontId="4" fillId="13" borderId="0" xfId="0" applyFont="1" applyFill="1" applyBorder="1" applyProtection="1"/>
    <xf numFmtId="0" fontId="4" fillId="19" borderId="0" xfId="0" applyFont="1" applyFill="1" applyAlignment="1" applyProtection="1">
      <alignment vertical="center"/>
    </xf>
    <xf numFmtId="0" fontId="4" fillId="19" borderId="0" xfId="0" applyFont="1" applyFill="1" applyProtection="1"/>
    <xf numFmtId="0" fontId="15" fillId="16" borderId="0" xfId="0" applyFont="1" applyFill="1" applyAlignment="1" applyProtection="1">
      <alignment horizontal="center" vertical="center" wrapText="1"/>
      <protection locked="0"/>
    </xf>
    <xf numFmtId="0" fontId="15" fillId="15" borderId="0" xfId="0" applyFont="1" applyFill="1" applyAlignment="1" applyProtection="1">
      <alignment horizontal="center" vertical="center" wrapText="1"/>
      <protection locked="0"/>
    </xf>
    <xf numFmtId="0" fontId="15" fillId="15" borderId="0" xfId="0" applyFont="1" applyFill="1" applyBorder="1" applyProtection="1"/>
    <xf numFmtId="0" fontId="6" fillId="15" borderId="0" xfId="0" applyFont="1" applyFill="1" applyBorder="1" applyProtection="1"/>
    <xf numFmtId="0" fontId="15" fillId="15" borderId="0" xfId="0" applyFont="1" applyFill="1" applyBorder="1" applyAlignment="1" applyProtection="1">
      <alignment horizontal="center"/>
    </xf>
    <xf numFmtId="0" fontId="20" fillId="15" borderId="0" xfId="0" applyFont="1" applyFill="1" applyBorder="1" applyProtection="1"/>
    <xf numFmtId="0" fontId="15" fillId="15" borderId="0" xfId="0" applyFont="1" applyFill="1" applyProtection="1"/>
    <xf numFmtId="2" fontId="15" fillId="15" borderId="0" xfId="0" applyNumberFormat="1" applyFont="1" applyFill="1" applyBorder="1" applyProtection="1"/>
    <xf numFmtId="0" fontId="6" fillId="15" borderId="0" xfId="0" applyFont="1" applyFill="1" applyProtection="1"/>
    <xf numFmtId="0" fontId="6" fillId="15" borderId="0" xfId="0" applyFont="1" applyFill="1" applyAlignment="1" applyProtection="1">
      <alignment horizontal="center"/>
    </xf>
    <xf numFmtId="0" fontId="6" fillId="15" borderId="0" xfId="0" applyFont="1" applyFill="1" applyBorder="1" applyAlignment="1" applyProtection="1">
      <alignment horizontal="center"/>
    </xf>
    <xf numFmtId="2" fontId="0" fillId="2" borderId="0" xfId="0" applyNumberFormat="1" applyFill="1"/>
    <xf numFmtId="1" fontId="0" fillId="2" borderId="0" xfId="0" applyNumberFormat="1" applyFill="1" applyAlignment="1">
      <alignment horizontal="left"/>
    </xf>
    <xf numFmtId="165" fontId="0" fillId="2" borderId="0" xfId="0" applyNumberFormat="1" applyFill="1" applyAlignment="1">
      <alignment horizontal="left"/>
    </xf>
    <xf numFmtId="0" fontId="6" fillId="15" borderId="0" xfId="0" applyFont="1" applyFill="1" applyAlignment="1" applyProtection="1">
      <alignment horizontal="left"/>
    </xf>
    <xf numFmtId="0" fontId="6" fillId="2" borderId="0" xfId="0" applyFont="1" applyFill="1" applyBorder="1" applyProtection="1"/>
    <xf numFmtId="2" fontId="6" fillId="2" borderId="0" xfId="0" applyNumberFormat="1" applyFont="1" applyFill="1" applyBorder="1" applyAlignment="1" applyProtection="1">
      <alignment horizontal="center"/>
    </xf>
    <xf numFmtId="0" fontId="15" fillId="2" borderId="0" xfId="0" applyFont="1" applyFill="1" applyBorder="1" applyProtection="1"/>
    <xf numFmtId="0" fontId="15"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6" fillId="2" borderId="0" xfId="0" applyFont="1" applyFill="1" applyBorder="1" applyAlignment="1" applyProtection="1">
      <alignment horizontal="center"/>
      <protection locked="0"/>
    </xf>
    <xf numFmtId="165" fontId="15" fillId="2" borderId="9" xfId="0" applyNumberFormat="1" applyFont="1" applyFill="1" applyBorder="1" applyAlignment="1" applyProtection="1">
      <alignment horizontal="center" vertical="center"/>
      <protection locked="0"/>
    </xf>
    <xf numFmtId="2" fontId="15" fillId="2" borderId="9" xfId="0" applyNumberFormat="1" applyFont="1" applyFill="1" applyBorder="1" applyAlignment="1" applyProtection="1">
      <alignment horizontal="center"/>
    </xf>
    <xf numFmtId="165" fontId="15" fillId="2" borderId="9" xfId="0" applyNumberFormat="1" applyFont="1" applyFill="1" applyBorder="1" applyAlignment="1" applyProtection="1">
      <alignment horizontal="center"/>
    </xf>
    <xf numFmtId="0" fontId="14" fillId="15" borderId="0" xfId="0" applyFont="1" applyFill="1" applyAlignment="1" applyProtection="1">
      <alignment vertical="center" wrapText="1"/>
      <protection locked="0"/>
    </xf>
    <xf numFmtId="0" fontId="2" fillId="0" borderId="9" xfId="0" applyFont="1" applyBorder="1"/>
    <xf numFmtId="0" fontId="5" fillId="0" borderId="9" xfId="0" applyFont="1" applyBorder="1"/>
    <xf numFmtId="0" fontId="5" fillId="0" borderId="9" xfId="0" applyFont="1" applyBorder="1" applyAlignment="1">
      <alignment horizontal="left"/>
    </xf>
    <xf numFmtId="0" fontId="17" fillId="2" borderId="0" xfId="0" applyFont="1" applyFill="1"/>
    <xf numFmtId="0" fontId="2" fillId="0" borderId="9" xfId="0" applyFont="1" applyBorder="1" applyAlignment="1">
      <alignment horizontal="left"/>
    </xf>
    <xf numFmtId="0" fontId="5" fillId="2" borderId="9" xfId="0" applyFont="1" applyFill="1" applyBorder="1" applyAlignment="1">
      <alignment horizontal="left"/>
    </xf>
    <xf numFmtId="0" fontId="0" fillId="2" borderId="0" xfId="0" applyFill="1" applyAlignment="1">
      <alignment horizontal="left"/>
    </xf>
    <xf numFmtId="0" fontId="4" fillId="2" borderId="0" xfId="0" applyFont="1" applyFill="1" applyAlignment="1">
      <alignment vertical="center"/>
    </xf>
    <xf numFmtId="0" fontId="4" fillId="12" borderId="0" xfId="0" applyNumberFormat="1" applyFont="1" applyFill="1" applyAlignment="1">
      <alignment vertical="center"/>
    </xf>
    <xf numFmtId="0" fontId="2" fillId="2" borderId="10" xfId="0" applyFont="1" applyFill="1" applyBorder="1" applyAlignment="1">
      <alignment horizontal="left"/>
    </xf>
    <xf numFmtId="0" fontId="0" fillId="2" borderId="0" xfId="0" applyFill="1" applyAlignment="1"/>
    <xf numFmtId="2" fontId="2" fillId="2" borderId="10" xfId="0" applyNumberFormat="1" applyFont="1" applyFill="1" applyBorder="1" applyAlignment="1"/>
    <xf numFmtId="0" fontId="23" fillId="2" borderId="9" xfId="0" applyFont="1" applyFill="1" applyBorder="1" applyAlignment="1">
      <alignment horizontal="left"/>
    </xf>
    <xf numFmtId="0" fontId="24" fillId="15" borderId="0" xfId="0" applyFont="1" applyFill="1" applyBorder="1" applyProtection="1"/>
    <xf numFmtId="0" fontId="25" fillId="2" borderId="0" xfId="0" applyFont="1" applyFill="1"/>
    <xf numFmtId="0" fontId="26" fillId="2" borderId="0" xfId="0" applyFont="1" applyFill="1"/>
    <xf numFmtId="0" fontId="15" fillId="15" borderId="0" xfId="0" applyFont="1" applyFill="1" applyAlignment="1" applyProtection="1">
      <alignment horizontal="left" vertical="center" wrapText="1"/>
    </xf>
    <xf numFmtId="0" fontId="15" fillId="16" borderId="0" xfId="0" applyFont="1" applyFill="1" applyAlignment="1" applyProtection="1">
      <alignment horizontal="left" vertical="center" wrapText="1"/>
    </xf>
    <xf numFmtId="0" fontId="6" fillId="15" borderId="0" xfId="0" applyFont="1" applyFill="1" applyAlignment="1" applyProtection="1">
      <alignment horizontal="left" wrapText="1"/>
    </xf>
    <xf numFmtId="0" fontId="14" fillId="15" borderId="0" xfId="0" applyFont="1" applyFill="1" applyAlignment="1" applyProtection="1">
      <alignment horizontal="left" wrapText="1"/>
    </xf>
    <xf numFmtId="0" fontId="14" fillId="2" borderId="0" xfId="0" applyFont="1" applyFill="1" applyAlignment="1" applyProtection="1">
      <alignment horizontal="left" wrapText="1"/>
    </xf>
    <xf numFmtId="0" fontId="15" fillId="2" borderId="0" xfId="0" applyFont="1" applyFill="1" applyAlignment="1" applyProtection="1">
      <alignment horizontal="left" vertical="center" wrapText="1"/>
    </xf>
    <xf numFmtId="0" fontId="4" fillId="15" borderId="0" xfId="0" applyFont="1" applyFill="1" applyAlignment="1" applyProtection="1">
      <alignment horizontal="center" wrapText="1"/>
    </xf>
    <xf numFmtId="0" fontId="14" fillId="15" borderId="0" xfId="0" applyFont="1" applyFill="1" applyAlignment="1" applyProtection="1">
      <alignment horizontal="left" wrapText="1"/>
    </xf>
    <xf numFmtId="0" fontId="4" fillId="2" borderId="0" xfId="0" applyFont="1" applyFill="1"/>
    <xf numFmtId="0" fontId="6" fillId="2" borderId="0" xfId="0" applyFont="1" applyFill="1" applyAlignment="1">
      <alignment horizontal="left" vertical="center"/>
    </xf>
    <xf numFmtId="0" fontId="4" fillId="2" borderId="0" xfId="0" applyFont="1" applyFill="1" applyAlignment="1">
      <alignment horizontal="left" vertical="center"/>
    </xf>
    <xf numFmtId="0" fontId="18" fillId="2" borderId="0" xfId="0" applyFont="1" applyFill="1"/>
    <xf numFmtId="0" fontId="0" fillId="2" borderId="0" xfId="0" applyNumberFormat="1" applyFill="1"/>
    <xf numFmtId="0" fontId="0" fillId="14" borderId="0" xfId="0" applyFill="1" applyAlignment="1">
      <alignment horizontal="left" vertical="center"/>
    </xf>
    <xf numFmtId="0" fontId="3" fillId="14" borderId="0" xfId="0" applyFont="1" applyFill="1" applyAlignment="1" applyProtection="1">
      <alignment horizontal="left" vertical="center"/>
      <protection locked="0"/>
    </xf>
    <xf numFmtId="0" fontId="22" fillId="0" borderId="0" xfId="0" applyFont="1" applyAlignment="1">
      <alignment horizontal="left" vertical="top" wrapText="1"/>
    </xf>
    <xf numFmtId="0" fontId="24" fillId="15" borderId="11" xfId="0" applyFont="1" applyFill="1" applyBorder="1" applyAlignment="1" applyProtection="1">
      <alignment horizontal="left"/>
    </xf>
    <xf numFmtId="0" fontId="15" fillId="16" borderId="0" xfId="0" applyFont="1" applyFill="1" applyAlignment="1" applyProtection="1">
      <alignment horizontal="left" vertical="center" wrapText="1"/>
    </xf>
    <xf numFmtId="0" fontId="15" fillId="15" borderId="0" xfId="0" applyFont="1" applyFill="1" applyAlignment="1" applyProtection="1">
      <alignment horizontal="left" vertical="center" wrapText="1"/>
    </xf>
    <xf numFmtId="0" fontId="16" fillId="15" borderId="0" xfId="0" applyFont="1" applyFill="1" applyAlignment="1" applyProtection="1">
      <alignment horizontal="right" wrapText="1"/>
    </xf>
    <xf numFmtId="0" fontId="6" fillId="15" borderId="0" xfId="0" applyFont="1" applyFill="1" applyAlignment="1" applyProtection="1">
      <alignment horizontal="left" wrapText="1"/>
    </xf>
    <xf numFmtId="0" fontId="0" fillId="5" borderId="0" xfId="0" applyFill="1" applyAlignment="1" applyProtection="1">
      <alignment horizontal="left"/>
    </xf>
    <xf numFmtId="0" fontId="0" fillId="2" borderId="0" xfId="0" applyFill="1" applyAlignment="1" applyProtection="1">
      <alignment horizontal="left"/>
    </xf>
    <xf numFmtId="0" fontId="14" fillId="15" borderId="0" xfId="0" applyFont="1" applyFill="1" applyAlignment="1" applyProtection="1">
      <alignment horizontal="left" vertical="center" wrapText="1"/>
      <protection locked="0"/>
    </xf>
    <xf numFmtId="0" fontId="14" fillId="15" borderId="0" xfId="0" applyFont="1" applyFill="1" applyAlignment="1" applyProtection="1">
      <alignment horizontal="left" wrapText="1"/>
    </xf>
    <xf numFmtId="0" fontId="12" fillId="13" borderId="1" xfId="0" applyFont="1" applyFill="1" applyBorder="1" applyAlignment="1" applyProtection="1">
      <alignment horizontal="center" vertical="center"/>
    </xf>
    <xf numFmtId="0" fontId="12" fillId="13" borderId="3" xfId="0" applyFont="1" applyFill="1" applyBorder="1" applyAlignment="1" applyProtection="1">
      <alignment horizontal="center" vertical="center"/>
    </xf>
    <xf numFmtId="0" fontId="12" fillId="13" borderId="4" xfId="0" applyFont="1" applyFill="1" applyBorder="1" applyAlignment="1" applyProtection="1">
      <alignment horizontal="center" vertical="center"/>
    </xf>
    <xf numFmtId="0" fontId="12" fillId="13"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6"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4" fillId="2" borderId="0" xfId="0" applyFont="1" applyFill="1" applyAlignment="1" applyProtection="1">
      <alignment horizontal="left"/>
    </xf>
    <xf numFmtId="0" fontId="10" fillId="2" borderId="7"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0" fillId="2" borderId="0" xfId="0" applyFont="1" applyFill="1" applyBorder="1" applyAlignment="1" applyProtection="1">
      <alignment horizontal="left" vertical="center"/>
    </xf>
    <xf numFmtId="0" fontId="10" fillId="2" borderId="5" xfId="0" applyFont="1" applyFill="1" applyBorder="1" applyAlignment="1" applyProtection="1">
      <alignment horizontal="left" vertical="center"/>
    </xf>
    <xf numFmtId="0" fontId="3" fillId="4" borderId="0" xfId="0" applyFont="1" applyFill="1" applyAlignment="1" applyProtection="1">
      <alignment horizontal="center"/>
    </xf>
    <xf numFmtId="0" fontId="12" fillId="13" borderId="1" xfId="0" applyFont="1" applyFill="1" applyBorder="1" applyAlignment="1" applyProtection="1">
      <alignment horizontal="left" vertical="center"/>
    </xf>
    <xf numFmtId="0" fontId="12" fillId="13" borderId="2" xfId="0" applyFont="1" applyFill="1" applyBorder="1" applyAlignment="1" applyProtection="1">
      <alignment horizontal="left" vertical="center"/>
    </xf>
    <xf numFmtId="0" fontId="12" fillId="13" borderId="4" xfId="0" applyFont="1" applyFill="1" applyBorder="1" applyAlignment="1" applyProtection="1">
      <alignment horizontal="left" vertical="center"/>
    </xf>
    <xf numFmtId="0" fontId="12" fillId="13" borderId="0" xfId="0" applyFont="1" applyFill="1" applyBorder="1" applyAlignment="1" applyProtection="1">
      <alignment horizontal="left" vertical="center"/>
    </xf>
    <xf numFmtId="0" fontId="10" fillId="0" borderId="0" xfId="0" applyFont="1" applyFill="1" applyBorder="1" applyAlignment="1" applyProtection="1">
      <alignment horizontal="left" vertical="center"/>
    </xf>
    <xf numFmtId="0" fontId="10" fillId="0" borderId="5" xfId="0" applyFont="1" applyFill="1" applyBorder="1" applyAlignment="1" applyProtection="1">
      <alignment horizontal="left" vertical="center"/>
    </xf>
    <xf numFmtId="0" fontId="10" fillId="0" borderId="7" xfId="0" applyFont="1" applyFill="1" applyBorder="1" applyAlignment="1" applyProtection="1">
      <alignment horizontal="left" vertical="center"/>
    </xf>
    <xf numFmtId="0" fontId="10" fillId="0" borderId="8"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7" xfId="0" applyFont="1" applyFill="1" applyBorder="1" applyAlignment="1" applyProtection="1">
      <alignment horizontal="left" vertical="center"/>
    </xf>
    <xf numFmtId="0" fontId="13" fillId="2" borderId="4" xfId="0" applyFont="1" applyFill="1" applyBorder="1" applyAlignment="1" applyProtection="1">
      <alignment horizontal="left" vertical="center"/>
    </xf>
    <xf numFmtId="0" fontId="13" fillId="2" borderId="0" xfId="0" applyFont="1" applyFill="1" applyBorder="1" applyAlignment="1" applyProtection="1">
      <alignment horizontal="left" vertical="center"/>
    </xf>
    <xf numFmtId="0" fontId="0" fillId="15" borderId="0" xfId="0" applyFill="1" applyAlignment="1" applyProtection="1">
      <alignment horizontal="center"/>
    </xf>
    <xf numFmtId="0" fontId="16" fillId="2" borderId="0" xfId="0" applyFont="1" applyFill="1" applyAlignment="1" applyProtection="1">
      <alignment horizontal="right" wrapText="1"/>
    </xf>
    <xf numFmtId="0" fontId="15" fillId="5" borderId="0" xfId="0" applyFont="1" applyFill="1" applyAlignment="1" applyProtection="1">
      <alignment horizontal="center" vertical="center" wrapText="1"/>
      <protection locked="0"/>
    </xf>
    <xf numFmtId="0" fontId="6" fillId="2" borderId="0" xfId="0" applyFont="1" applyFill="1" applyAlignment="1" applyProtection="1">
      <alignment horizontal="left" wrapText="1"/>
    </xf>
    <xf numFmtId="0" fontId="14" fillId="2" borderId="0" xfId="0" applyFont="1" applyFill="1" applyAlignment="1" applyProtection="1">
      <alignment horizontal="left" wrapText="1"/>
    </xf>
    <xf numFmtId="0" fontId="15" fillId="5" borderId="0" xfId="0" applyFont="1" applyFill="1" applyAlignment="1" applyProtection="1">
      <alignment horizontal="left" vertical="center" wrapText="1"/>
    </xf>
    <xf numFmtId="0" fontId="15" fillId="2" borderId="0" xfId="0" applyFont="1" applyFill="1" applyAlignment="1" applyProtection="1">
      <alignment horizontal="left" vertical="center" wrapText="1"/>
    </xf>
    <xf numFmtId="0" fontId="15" fillId="2" borderId="0" xfId="0" applyFont="1" applyFill="1" applyAlignment="1" applyProtection="1">
      <alignment horizontal="left" vertical="center" wrapText="1"/>
      <protection locked="0"/>
    </xf>
    <xf numFmtId="0" fontId="0" fillId="14" borderId="0" xfId="0" applyFont="1" applyFill="1" applyAlignment="1" applyProtection="1">
      <alignment horizontal="left" vertical="center"/>
      <protection locked="0"/>
    </xf>
    <xf numFmtId="0" fontId="0" fillId="15" borderId="0" xfId="0" applyFont="1" applyFill="1" applyAlignment="1" applyProtection="1">
      <alignment horizontal="center"/>
    </xf>
    <xf numFmtId="0" fontId="4" fillId="15" borderId="0" xfId="0" applyFont="1" applyFill="1" applyAlignment="1" applyProtection="1">
      <alignment horizontal="center" wrapText="1"/>
    </xf>
    <xf numFmtId="0" fontId="16" fillId="15" borderId="0" xfId="0" applyFont="1" applyFill="1" applyAlignment="1" applyProtection="1">
      <alignment horizontal="left" wrapText="1"/>
    </xf>
  </cellXfs>
  <cellStyles count="252">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Gevolgde hyperlink" xfId="18" builtinId="9" hidden="1"/>
    <cellStyle name="Gevolgde hyperlink" xfId="20" builtinId="9" hidden="1"/>
    <cellStyle name="Gevolgde hyperlink" xfId="22" builtinId="9" hidden="1"/>
    <cellStyle name="Gevolgde hyperlink" xfId="24" builtinId="9" hidden="1"/>
    <cellStyle name="Gevolgde hyperlink" xfId="26" builtinId="9" hidden="1"/>
    <cellStyle name="Gevolgde hyperlink" xfId="28" builtinId="9" hidden="1"/>
    <cellStyle name="Gevolgde hyperlink" xfId="30" builtinId="9" hidden="1"/>
    <cellStyle name="Gevolgde hyperlink" xfId="32" builtinId="9" hidden="1"/>
    <cellStyle name="Gevolgde hyperlink" xfId="34" builtinId="9" hidden="1"/>
    <cellStyle name="Gevolgde hyperlink" xfId="36" builtinId="9" hidden="1"/>
    <cellStyle name="Gevolgde hyperlink" xfId="38" builtinId="9" hidden="1"/>
    <cellStyle name="Gevolgde hyperlink" xfId="40" builtinId="9" hidden="1"/>
    <cellStyle name="Gevolgde hyperlink" xfId="42" builtinId="9" hidden="1"/>
    <cellStyle name="Gevolgde hyperlink" xfId="44" builtinId="9" hidden="1"/>
    <cellStyle name="Gevolgde hyperlink" xfId="46" builtinId="9" hidden="1"/>
    <cellStyle name="Gevolgde hyperlink" xfId="48" builtinId="9" hidden="1"/>
    <cellStyle name="Gevolgde hyperlink" xfId="50" builtinId="9" hidden="1"/>
    <cellStyle name="Gevolgde hyperlink" xfId="52" builtinId="9" hidden="1"/>
    <cellStyle name="Gevolgde hyperlink" xfId="54" builtinId="9" hidden="1"/>
    <cellStyle name="Gevolgde hyperlink" xfId="56" builtinId="9" hidden="1"/>
    <cellStyle name="Gevolgde hyperlink" xfId="58" builtinId="9" hidden="1"/>
    <cellStyle name="Gevolgde hyperlink" xfId="60" builtinId="9" hidden="1"/>
    <cellStyle name="Gevolgde hyperlink" xfId="62" builtinId="9" hidden="1"/>
    <cellStyle name="Gevolgde hyperlink" xfId="64" builtinId="9" hidden="1"/>
    <cellStyle name="Gevolgde hyperlink" xfId="66" builtinId="9" hidden="1"/>
    <cellStyle name="Gevolgde hyperlink" xfId="68" builtinId="9" hidden="1"/>
    <cellStyle name="Gevolgde hyperlink" xfId="70" builtinId="9" hidden="1"/>
    <cellStyle name="Gevolgde hyperlink" xfId="72" builtinId="9" hidden="1"/>
    <cellStyle name="Gevolgde hyperlink" xfId="74" builtinId="9" hidden="1"/>
    <cellStyle name="Gevolgde hyperlink" xfId="76" builtinId="9" hidden="1"/>
    <cellStyle name="Gevolgde hyperlink" xfId="78" builtinId="9" hidden="1"/>
    <cellStyle name="Gevolgde hyperlink" xfId="80" builtinId="9" hidden="1"/>
    <cellStyle name="Gevolgde hyperlink" xfId="82" builtinId="9" hidden="1"/>
    <cellStyle name="Gevolgde hyperlink" xfId="84" builtinId="9" hidden="1"/>
    <cellStyle name="Gevolgde hyperlink" xfId="86" builtinId="9" hidden="1"/>
    <cellStyle name="Gevolgde hyperlink" xfId="88" builtinId="9" hidden="1"/>
    <cellStyle name="Gevolgde hyperlink" xfId="90" builtinId="9" hidden="1"/>
    <cellStyle name="Gevolgde hyperlink" xfId="92" builtinId="9" hidden="1"/>
    <cellStyle name="Gevolgde hyperlink" xfId="94" builtinId="9" hidden="1"/>
    <cellStyle name="Gevolgde hyperlink" xfId="96" builtinId="9" hidden="1"/>
    <cellStyle name="Gevolgde hyperlink" xfId="98" builtinId="9" hidden="1"/>
    <cellStyle name="Gevolgde hyperlink" xfId="100" builtinId="9" hidden="1"/>
    <cellStyle name="Gevolgde hyperlink" xfId="102" builtinId="9" hidden="1"/>
    <cellStyle name="Gevolgde hyperlink" xfId="104" builtinId="9" hidden="1"/>
    <cellStyle name="Gevolgde hyperlink" xfId="106" builtinId="9" hidden="1"/>
    <cellStyle name="Gevolgde hyperlink" xfId="108" builtinId="9" hidden="1"/>
    <cellStyle name="Gevolgde hyperlink" xfId="110" builtinId="9" hidden="1"/>
    <cellStyle name="Gevolgde hyperlink" xfId="112" builtinId="9" hidden="1"/>
    <cellStyle name="Gevolgde hyperlink" xfId="115" builtinId="9" hidden="1"/>
    <cellStyle name="Gevolgde hyperlink" xfId="117" builtinId="9" hidden="1"/>
    <cellStyle name="Gevolgde hyperlink" xfId="119" builtinId="9" hidden="1"/>
    <cellStyle name="Gevolgde hyperlink" xfId="121" builtinId="9" hidden="1"/>
    <cellStyle name="Gevolgde hyperlink" xfId="123" builtinId="9" hidden="1"/>
    <cellStyle name="Gevolgde hyperlink" xfId="125" builtinId="9" hidden="1"/>
    <cellStyle name="Gevolgde hyperlink" xfId="127" builtinId="9" hidden="1"/>
    <cellStyle name="Gevolgde hyperlink" xfId="129" builtinId="9" hidden="1"/>
    <cellStyle name="Gevolgde hyperlink" xfId="131" builtinId="9" hidden="1"/>
    <cellStyle name="Gevolgde hyperlink" xfId="133" builtinId="9" hidden="1"/>
    <cellStyle name="Gevolgde hyperlink" xfId="135" builtinId="9" hidden="1"/>
    <cellStyle name="Gevolgde hyperlink" xfId="137" builtinId="9" hidden="1"/>
    <cellStyle name="Gevolgde hyperlink" xfId="139" builtinId="9" hidden="1"/>
    <cellStyle name="Gevolgde hyperlink" xfId="141" builtinId="9" hidden="1"/>
    <cellStyle name="Gevolgde hyperlink" xfId="143" builtinId="9" hidden="1"/>
    <cellStyle name="Gevolgde hyperlink" xfId="145" builtinId="9" hidden="1"/>
    <cellStyle name="Gevolgde hyperlink" xfId="146" builtinId="9" hidden="1"/>
    <cellStyle name="Gevolgde hyperlink" xfId="147" builtinId="9" hidden="1"/>
    <cellStyle name="Gevolgde hyperlink" xfId="148" builtinId="9" hidden="1"/>
    <cellStyle name="Gevolgde hyperlink" xfId="149" builtinId="9" hidden="1"/>
    <cellStyle name="Gevolgde hyperlink" xfId="150" builtinId="9" hidden="1"/>
    <cellStyle name="Gevolgde hyperlink" xfId="151" builtinId="9" hidden="1"/>
    <cellStyle name="Gevolgde hyperlink" xfId="152" builtinId="9" hidden="1"/>
    <cellStyle name="Gevolgde hyperlink" xfId="153" builtinId="9" hidden="1"/>
    <cellStyle name="Gevolgde hyperlink" xfId="154" builtinId="9" hidden="1"/>
    <cellStyle name="Gevolgde hyperlink" xfId="155" builtinId="9" hidden="1"/>
    <cellStyle name="Gevolgde hyperlink" xfId="156" builtinId="9" hidden="1"/>
    <cellStyle name="Gevolgde hyperlink" xfId="157" builtinId="9" hidden="1"/>
    <cellStyle name="Gevolgde hyperlink" xfId="158" builtinId="9" hidden="1"/>
    <cellStyle name="Gevolgde hyperlink" xfId="159" builtinId="9" hidden="1"/>
    <cellStyle name="Gevolgde hyperlink" xfId="160" builtinId="9" hidden="1"/>
    <cellStyle name="Gevolgde hyperlink" xfId="161" builtinId="9" hidden="1"/>
    <cellStyle name="Gevolgde hyperlink" xfId="162" builtinId="9" hidden="1"/>
    <cellStyle name="Gevolgde hyperlink" xfId="163" builtinId="9" hidden="1"/>
    <cellStyle name="Gevolgde hyperlink" xfId="164" builtinId="9" hidden="1"/>
    <cellStyle name="Gevolgde hyperlink" xfId="165" builtinId="9" hidden="1"/>
    <cellStyle name="Gevolgde hyperlink" xfId="166" builtinId="9" hidden="1"/>
    <cellStyle name="Gevolgde hyperlink" xfId="167" builtinId="9" hidden="1"/>
    <cellStyle name="Gevolgde hyperlink" xfId="168" builtinId="9" hidden="1"/>
    <cellStyle name="Gevolgde hyperlink" xfId="169" builtinId="9" hidden="1"/>
    <cellStyle name="Gevolgde hyperlink" xfId="170" builtinId="9" hidden="1"/>
    <cellStyle name="Gevolgde hyperlink" xfId="171" builtinId="9" hidden="1"/>
    <cellStyle name="Gevolgde hyperlink" xfId="172" builtinId="9" hidden="1"/>
    <cellStyle name="Gevolgde hyperlink" xfId="173" builtinId="9" hidden="1"/>
    <cellStyle name="Gevolgde hyperlink" xfId="174" builtinId="9" hidden="1"/>
    <cellStyle name="Gevolgde hyperlink" xfId="175" builtinId="9" hidden="1"/>
    <cellStyle name="Gevolgde hyperlink" xfId="176" builtinId="9" hidden="1"/>
    <cellStyle name="Gevolgde hyperlink" xfId="177" builtinId="9" hidden="1"/>
    <cellStyle name="Gevolgde hyperlink" xfId="178" builtinId="9" hidden="1"/>
    <cellStyle name="Gevolgde hyperlink" xfId="179" builtinId="9" hidden="1"/>
    <cellStyle name="Gevolgde hyperlink" xfId="180" builtinId="9" hidden="1"/>
    <cellStyle name="Gevolgde hyperlink" xfId="181" builtinId="9" hidden="1"/>
    <cellStyle name="Gevolgde hyperlink" xfId="182" builtinId="9" hidden="1"/>
    <cellStyle name="Gevolgde hyperlink" xfId="183" builtinId="9" hidden="1"/>
    <cellStyle name="Gevolgde hyperlink" xfId="185" builtinId="9" hidden="1"/>
    <cellStyle name="Gevolgde hyperlink" xfId="187" builtinId="9" hidden="1"/>
    <cellStyle name="Gevolgde hyperlink" xfId="189" builtinId="9" hidden="1"/>
    <cellStyle name="Gevolgde hyperlink" xfId="191" builtinId="9" hidden="1"/>
    <cellStyle name="Gevolgde hyperlink" xfId="193" builtinId="9" hidden="1"/>
    <cellStyle name="Gevolgde hyperlink" xfId="195" builtinId="9" hidden="1"/>
    <cellStyle name="Gevolgde hyperlink" xfId="197" builtinId="9" hidden="1"/>
    <cellStyle name="Gevolgde hyperlink" xfId="199" builtinId="9" hidden="1"/>
    <cellStyle name="Gevolgde hyperlink" xfId="201" builtinId="9" hidden="1"/>
    <cellStyle name="Gevolgde hyperlink" xfId="203" builtinId="9" hidden="1"/>
    <cellStyle name="Gevolgde hyperlink" xfId="205" builtinId="9" hidden="1"/>
    <cellStyle name="Gevolgde hyperlink" xfId="207" builtinId="9" hidden="1"/>
    <cellStyle name="Gevolgde hyperlink" xfId="209" builtinId="9" hidden="1"/>
    <cellStyle name="Gevolgde hyperlink" xfId="211" builtinId="9" hidden="1"/>
    <cellStyle name="Gevolgde hyperlink" xfId="213" builtinId="9" hidden="1"/>
    <cellStyle name="Gevolgde hyperlink" xfId="215" builtinId="9" hidden="1"/>
    <cellStyle name="Gevolgde hyperlink" xfId="217" builtinId="9" hidden="1"/>
    <cellStyle name="Gevolgde hyperlink" xfId="219" builtinId="9" hidden="1"/>
    <cellStyle name="Gevolgde hyperlink" xfId="221" builtinId="9" hidden="1"/>
    <cellStyle name="Gevolgde hyperlink" xfId="223" builtinId="9" hidden="1"/>
    <cellStyle name="Gevolgde hyperlink" xfId="225" builtinId="9" hidden="1"/>
    <cellStyle name="Gevolgde hyperlink" xfId="227" builtinId="9" hidden="1"/>
    <cellStyle name="Gevolgde hyperlink" xfId="229" builtinId="9" hidden="1"/>
    <cellStyle name="Gevolgde hyperlink" xfId="231" builtinId="9" hidden="1"/>
    <cellStyle name="Gevolgde hyperlink" xfId="233" builtinId="9" hidden="1"/>
    <cellStyle name="Gevolgde hyperlink" xfId="235" builtinId="9" hidden="1"/>
    <cellStyle name="Gevolgde hyperlink" xfId="237" builtinId="9" hidden="1"/>
    <cellStyle name="Gevolgde hyperlink" xfId="239" builtinId="9" hidden="1"/>
    <cellStyle name="Gevolgde hyperlink" xfId="241" builtinId="9" hidden="1"/>
    <cellStyle name="Gevolgde hyperlink" xfId="243" builtinId="9" hidden="1"/>
    <cellStyle name="Gevolgde hyperlink" xfId="245" builtinId="9" hidden="1"/>
    <cellStyle name="Gevolgde hyperlink" xfId="247" builtinId="9" hidden="1"/>
    <cellStyle name="Gevolgde hyperlink" xfId="249" builtinId="9" hidden="1"/>
    <cellStyle name="Gevolgde hyperlink" xfId="25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Procent" xfId="113" builtinId="5"/>
    <cellStyle name="Standaard" xfId="0" builtinId="0"/>
  </cellStyles>
  <dxfs count="160">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rgb="FF9C0006"/>
      </font>
      <fill>
        <patternFill>
          <bgColor rgb="FFFFC7CE"/>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rgb="FF9C0006"/>
      </font>
      <fill>
        <patternFill>
          <bgColor rgb="FFFFC7CE"/>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ont>
        <color rgb="FFFF0000"/>
      </font>
      <fill>
        <patternFill patternType="solid">
          <fgColor indexed="64"/>
          <bgColor theme="0"/>
        </patternFill>
      </fill>
    </dxf>
    <dxf>
      <fill>
        <patternFill>
          <bgColor indexed="10"/>
        </patternFill>
      </fill>
    </dxf>
    <dxf>
      <font>
        <condense val="0"/>
        <extend val="0"/>
        <color auto="1"/>
      </font>
      <fill>
        <patternFill>
          <bgColor indexed="5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rgb="FFFF0000"/>
      </font>
      <fill>
        <patternFill patternType="none">
          <fgColor indexed="64"/>
          <bgColor auto="1"/>
        </patternFill>
      </fill>
    </dxf>
    <dxf>
      <font>
        <color rgb="FFFF0000"/>
      </font>
      <fill>
        <patternFill patternType="none">
          <fgColor indexed="64"/>
          <bgColor auto="1"/>
        </patternFill>
      </fill>
    </dxf>
    <dxf>
      <font>
        <color auto="1"/>
      </font>
      <fill>
        <patternFill patternType="solid">
          <fgColor indexed="64"/>
          <bgColor rgb="FFFF0000"/>
        </patternFill>
      </fill>
    </dxf>
    <dxf>
      <font>
        <color theme="1"/>
      </font>
      <fill>
        <patternFill patternType="solid">
          <fgColor indexed="64"/>
          <bgColor rgb="FF008000"/>
        </patternFill>
      </fill>
    </dxf>
    <dxf>
      <font>
        <color rgb="FFFF0000"/>
      </font>
      <fill>
        <patternFill patternType="solid">
          <fgColor indexed="64"/>
          <bgColor theme="0"/>
        </patternFill>
      </fill>
    </dxf>
    <dxf>
      <font>
        <color auto="1"/>
      </font>
      <fill>
        <patternFill patternType="solid">
          <fgColor indexed="64"/>
          <bgColor rgb="FFFFFF00"/>
        </patternFill>
      </fill>
    </dxf>
    <dxf>
      <font>
        <color auto="1"/>
      </font>
      <fill>
        <patternFill patternType="solid">
          <fgColor indexed="64"/>
          <bgColor rgb="FFFFFF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rgb="FFFF0000"/>
      </font>
      <fill>
        <patternFill patternType="solid">
          <fgColor indexed="64"/>
          <bgColor theme="0"/>
        </patternFill>
      </fill>
    </dxf>
    <dxf>
      <font>
        <color rgb="FFFF0000"/>
      </font>
      <fill>
        <patternFill patternType="solid">
          <fgColor indexed="64"/>
          <bgColor theme="0"/>
        </patternFill>
      </fill>
    </dxf>
    <dxf>
      <font>
        <color auto="1"/>
      </font>
      <fill>
        <patternFill patternType="solid">
          <fgColor indexed="64"/>
          <bgColor rgb="FFFFFF00"/>
        </patternFill>
      </fill>
    </dxf>
    <dxf>
      <font>
        <color rgb="FFFF0000"/>
      </font>
      <fill>
        <patternFill patternType="solid">
          <fgColor indexed="64"/>
          <bgColor theme="0"/>
        </patternFill>
      </fill>
    </dxf>
    <dxf>
      <font>
        <color auto="1"/>
      </font>
      <fill>
        <patternFill patternType="solid">
          <fgColor indexed="64"/>
          <bgColor rgb="FFFFFF00"/>
        </patternFill>
      </fill>
    </dxf>
    <dxf>
      <fill>
        <patternFill>
          <bgColor indexed="10"/>
        </patternFill>
      </fill>
    </dxf>
    <dxf>
      <font>
        <condense val="0"/>
        <extend val="0"/>
        <color auto="1"/>
      </font>
      <fill>
        <patternFill>
          <bgColor indexed="5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425114148557"/>
          <c:y val="8.4033656546280491E-2"/>
          <c:w val="0.79283390143339805"/>
          <c:h val="0.70588271498875499"/>
        </c:manualLayout>
      </c:layout>
      <c:scatterChart>
        <c:scatterStyle val="smoothMarker"/>
        <c:varyColors val="0"/>
        <c:ser>
          <c:idx val="0"/>
          <c:order val="0"/>
          <c:tx>
            <c:v>left monitor</c:v>
          </c:tx>
          <c:spPr>
            <a:ln w="28575">
              <a:noFill/>
            </a:ln>
          </c:spPr>
          <c:marker>
            <c:symbol val="diamond"/>
            <c:size val="5"/>
            <c:spPr>
              <a:solidFill>
                <a:srgbClr val="000080"/>
              </a:solidFill>
              <a:ln>
                <a:solidFill>
                  <a:srgbClr val="000080"/>
                </a:solidFill>
                <a:prstDash val="solid"/>
              </a:ln>
            </c:spPr>
          </c:marker>
          <c:xVal>
            <c:numRef>
              <c:f>'§5.4 Luminance response (GSDF)'!$B$18:$B$34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(GSDF)'!$F$18:$F$34</c:f>
              <c:numCache>
                <c:formatCode>0.000</c:formatCode>
                <c:ptCount val="17"/>
                <c:pt idx="0">
                  <c:v>0.95196506550218329</c:v>
                </c:pt>
                <c:pt idx="1">
                  <c:v>0.71482889733840305</c:v>
                </c:pt>
                <c:pt idx="2">
                  <c:v>0.54285714285714293</c:v>
                </c:pt>
                <c:pt idx="3">
                  <c:v>0.44638403990024939</c:v>
                </c:pt>
                <c:pt idx="4">
                  <c:v>0.41837968561064082</c:v>
                </c:pt>
                <c:pt idx="5">
                  <c:v>0.3783783783783784</c:v>
                </c:pt>
                <c:pt idx="6">
                  <c:v>0.33962264150943394</c:v>
                </c:pt>
                <c:pt idx="7">
                  <c:v>0.31292517006802723</c:v>
                </c:pt>
                <c:pt idx="8">
                  <c:v>0.29197226966743695</c:v>
                </c:pt>
                <c:pt idx="9">
                  <c:v>0.28519882733218072</c:v>
                </c:pt>
                <c:pt idx="10">
                  <c:v>0.26047150377660799</c:v>
                </c:pt>
                <c:pt idx="11">
                  <c:v>0.27161358067903402</c:v>
                </c:pt>
                <c:pt idx="12">
                  <c:v>0.26586506346025374</c:v>
                </c:pt>
                <c:pt idx="13">
                  <c:v>0.24339720352149147</c:v>
                </c:pt>
                <c:pt idx="14">
                  <c:v>0.2546333601933925</c:v>
                </c:pt>
                <c:pt idx="15">
                  <c:v>0.25940902021772932</c:v>
                </c:pt>
                <c:pt idx="16">
                  <c:v>0.2409492674657949</c:v>
                </c:pt>
              </c:numCache>
            </c:numRef>
          </c:yVal>
          <c:smooth val="1"/>
        </c:ser>
        <c:ser>
          <c:idx val="2"/>
          <c:order val="1"/>
          <c:tx>
            <c:v>DICOM 3.14</c:v>
          </c:tx>
          <c:spPr>
            <a:ln w="12700">
              <a:solidFill>
                <a:srgbClr val="006411"/>
              </a:solidFill>
              <a:prstDash val="solid"/>
            </a:ln>
          </c:spPr>
          <c:marker>
            <c:symbol val="none"/>
          </c:marker>
          <c:xVal>
            <c:numRef>
              <c:f>'§5.4 Luminance response (GSDF)'!$J$18:$J$34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(GSDF)'!$M$18:$M$34</c:f>
              <c:numCache>
                <c:formatCode>0.000</c:formatCode>
                <c:ptCount val="17"/>
                <c:pt idx="0">
                  <c:v>0.8690159565293164</c:v>
                </c:pt>
                <c:pt idx="1">
                  <c:v>0.66441817315008345</c:v>
                </c:pt>
                <c:pt idx="2">
                  <c:v>0.54547297019354368</c:v>
                </c:pt>
                <c:pt idx="3">
                  <c:v>0.46887796240102164</c:v>
                </c:pt>
                <c:pt idx="4">
                  <c:v>0.41618716780318371</c:v>
                </c:pt>
                <c:pt idx="5">
                  <c:v>0.37821045988184915</c:v>
                </c:pt>
                <c:pt idx="6">
                  <c:v>0.34988508276064467</c:v>
                </c:pt>
                <c:pt idx="7">
                  <c:v>0.32820534459765055</c:v>
                </c:pt>
                <c:pt idx="8">
                  <c:v>0.31128048833627603</c:v>
                </c:pt>
                <c:pt idx="9">
                  <c:v>0.29786495903537435</c:v>
                </c:pt>
                <c:pt idx="10">
                  <c:v>0.28710673322069719</c:v>
                </c:pt>
                <c:pt idx="11">
                  <c:v>0.27840440537304534</c:v>
                </c:pt>
                <c:pt idx="12">
                  <c:v>0.27132204040450719</c:v>
                </c:pt>
                <c:pt idx="13">
                  <c:v>0.26553635395036984</c:v>
                </c:pt>
                <c:pt idx="14">
                  <c:v>0.26080279988422084</c:v>
                </c:pt>
                <c:pt idx="15">
                  <c:v>0.25693314103391629</c:v>
                </c:pt>
                <c:pt idx="16">
                  <c:v>0.2537055495467429</c:v>
                </c:pt>
              </c:numCache>
            </c:numRef>
          </c:yVal>
          <c:smooth val="1"/>
        </c:ser>
        <c:ser>
          <c:idx val="1"/>
          <c:order val="2"/>
          <c:tx>
            <c:v>+10%</c:v>
          </c:tx>
          <c:spPr>
            <a:ln w="12700">
              <a:solidFill>
                <a:srgbClr val="339966"/>
              </a:solidFill>
              <a:prstDash val="sysDash"/>
            </a:ln>
          </c:spPr>
          <c:marker>
            <c:symbol val="none"/>
          </c:marker>
          <c:xVal>
            <c:numRef>
              <c:f>'§5.4 Luminance response (GSDF)'!$J$18:$J$34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(GSDF)'!$N$18:$N$34</c:f>
              <c:numCache>
                <c:formatCode>0.000</c:formatCode>
                <c:ptCount val="17"/>
                <c:pt idx="0">
                  <c:v>0.95591755218224805</c:v>
                </c:pt>
                <c:pt idx="1">
                  <c:v>0.73085999046509176</c:v>
                </c:pt>
                <c:pt idx="2">
                  <c:v>0.60002026721289803</c:v>
                </c:pt>
                <c:pt idx="3">
                  <c:v>0.51576575864112384</c:v>
                </c:pt>
                <c:pt idx="4">
                  <c:v>0.45780588458350208</c:v>
                </c:pt>
                <c:pt idx="5">
                  <c:v>0.41603150587003407</c:v>
                </c:pt>
                <c:pt idx="6">
                  <c:v>0.38487359103670915</c:v>
                </c:pt>
                <c:pt idx="7">
                  <c:v>0.36102587905741562</c:v>
                </c:pt>
                <c:pt idx="8">
                  <c:v>0.3424085371699036</c:v>
                </c:pt>
                <c:pt idx="9">
                  <c:v>0.32765145493891179</c:v>
                </c:pt>
                <c:pt idx="10">
                  <c:v>0.31581740654276691</c:v>
                </c:pt>
                <c:pt idx="11">
                  <c:v>0.30624484591034989</c:v>
                </c:pt>
                <c:pt idx="12">
                  <c:v>0.29845424444495794</c:v>
                </c:pt>
                <c:pt idx="13">
                  <c:v>0.29208998934540681</c:v>
                </c:pt>
                <c:pt idx="14">
                  <c:v>0.28688307987264294</c:v>
                </c:pt>
                <c:pt idx="15">
                  <c:v>0.28262645513730794</c:v>
                </c:pt>
                <c:pt idx="16">
                  <c:v>0.27907610450141718</c:v>
                </c:pt>
              </c:numCache>
            </c:numRef>
          </c:yVal>
          <c:smooth val="1"/>
        </c:ser>
        <c:ser>
          <c:idx val="3"/>
          <c:order val="3"/>
          <c:tx>
            <c:strRef>
              <c:f>'§5.4 Luminance response (GSDF)'!$C$7</c:f>
              <c:strCache>
                <c:ptCount val="1"/>
                <c:pt idx="0">
                  <c:v>+/-10%</c:v>
                </c:pt>
              </c:strCache>
            </c:strRef>
          </c:tx>
          <c:spPr>
            <a:ln w="12700">
              <a:solidFill>
                <a:srgbClr val="339966"/>
              </a:solidFill>
              <a:prstDash val="sysDash"/>
            </a:ln>
          </c:spPr>
          <c:marker>
            <c:symbol val="none"/>
          </c:marker>
          <c:xVal>
            <c:numRef>
              <c:f>'§5.4 Luminance response (GSDF)'!$J$18:$J$34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(GSDF)'!$O$18:$O$34</c:f>
              <c:numCache>
                <c:formatCode>0.000</c:formatCode>
                <c:ptCount val="17"/>
                <c:pt idx="0">
                  <c:v>0.78211436087638475</c:v>
                </c:pt>
                <c:pt idx="1">
                  <c:v>0.59797635583507514</c:v>
                </c:pt>
                <c:pt idx="2">
                  <c:v>0.49092567317418934</c:v>
                </c:pt>
                <c:pt idx="3">
                  <c:v>0.42199016616091944</c:v>
                </c:pt>
                <c:pt idx="4">
                  <c:v>0.37456845102286535</c:v>
                </c:pt>
                <c:pt idx="5">
                  <c:v>0.34038941389366423</c:v>
                </c:pt>
                <c:pt idx="6">
                  <c:v>0.31489657448458019</c:v>
                </c:pt>
                <c:pt idx="7">
                  <c:v>0.29538481013788548</c:v>
                </c:pt>
                <c:pt idx="8">
                  <c:v>0.28015243950264845</c:v>
                </c:pt>
                <c:pt idx="9">
                  <c:v>0.26807846313183692</c:v>
                </c:pt>
                <c:pt idx="10">
                  <c:v>0.25839605989862746</c:v>
                </c:pt>
                <c:pt idx="11">
                  <c:v>0.25056396483574078</c:v>
                </c:pt>
                <c:pt idx="12">
                  <c:v>0.24418983636405647</c:v>
                </c:pt>
                <c:pt idx="13">
                  <c:v>0.23898271855533285</c:v>
                </c:pt>
                <c:pt idx="14">
                  <c:v>0.23472251989579876</c:v>
                </c:pt>
                <c:pt idx="15">
                  <c:v>0.23123982693052467</c:v>
                </c:pt>
                <c:pt idx="16">
                  <c:v>0.2283349945920686</c:v>
                </c:pt>
              </c:numCache>
            </c:numRef>
          </c:yVal>
          <c:smooth val="1"/>
        </c:ser>
        <c:dLbls>
          <c:showLegendKey val="0"/>
          <c:showVal val="0"/>
          <c:showCatName val="0"/>
          <c:showSerName val="0"/>
          <c:showPercent val="0"/>
          <c:showBubbleSize val="0"/>
        </c:dLbls>
        <c:axId val="275538304"/>
        <c:axId val="275540224"/>
      </c:scatterChart>
      <c:valAx>
        <c:axId val="27553830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nl-NL"/>
                  <a:t>p-values</a:t>
                </a:r>
              </a:p>
            </c:rich>
          </c:tx>
          <c:layout>
            <c:manualLayout>
              <c:xMode val="edge"/>
              <c:yMode val="edge"/>
              <c:x val="0.43418062818073916"/>
              <c:y val="0.882353393735942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75540224"/>
        <c:crossesAt val="0.1"/>
        <c:crossBetween val="midCat"/>
      </c:valAx>
      <c:valAx>
        <c:axId val="275540224"/>
        <c:scaling>
          <c:logBase val="10"/>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nl-NL"/>
                  <a:t>dL/L</a:t>
                </a:r>
              </a:p>
            </c:rich>
          </c:tx>
          <c:layout>
            <c:manualLayout>
              <c:xMode val="edge"/>
              <c:yMode val="edge"/>
              <c:x val="2.3094714264932897E-2"/>
              <c:y val="0.38655482011288933"/>
            </c:manualLayout>
          </c:layout>
          <c:overlay val="0"/>
          <c:spPr>
            <a:noFill/>
            <a:ln w="25400">
              <a:noFill/>
            </a:ln>
          </c:spPr>
        </c:title>
        <c:numFmt formatCode="0.0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75538304"/>
        <c:crosses val="autoZero"/>
        <c:crossBetween val="midCat"/>
      </c:valAx>
      <c:spPr>
        <a:noFill/>
        <a:ln w="12700">
          <a:solidFill>
            <a:srgbClr val="808080"/>
          </a:solidFill>
          <a:prstDash val="solid"/>
        </a:ln>
      </c:spPr>
    </c:plotArea>
    <c:legend>
      <c:legendPos val="r"/>
      <c:legendEntry>
        <c:idx val="2"/>
        <c:delete val="1"/>
      </c:legendEntry>
      <c:layout>
        <c:manualLayout>
          <c:xMode val="edge"/>
          <c:yMode val="edge"/>
          <c:x val="0.7110858401679"/>
          <c:y val="9.7839198671594629E-2"/>
          <c:w val="0.22401872836984893"/>
          <c:h val="0.1680673130925611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nl-NL"/>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nl-NL"/>
    </a:p>
  </c:txPr>
  <c:printSettings>
    <c:headerFooter/>
    <c:pageMargins b="1" l="0.75000000000000033" r="0.75000000000000033"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86038457236524"/>
          <c:y val="8.370030549794126E-2"/>
          <c:w val="0.79037358882947073"/>
          <c:h val="0.71365523635086781"/>
        </c:manualLayout>
      </c:layout>
      <c:scatterChart>
        <c:scatterStyle val="smoothMarker"/>
        <c:varyColors val="0"/>
        <c:ser>
          <c:idx val="0"/>
          <c:order val="0"/>
          <c:tx>
            <c:v>right monitor</c:v>
          </c:tx>
          <c:spPr>
            <a:ln w="28575">
              <a:noFill/>
            </a:ln>
          </c:spPr>
          <c:marker>
            <c:symbol val="diamond"/>
            <c:size val="5"/>
            <c:spPr>
              <a:solidFill>
                <a:srgbClr val="000080"/>
              </a:solidFill>
              <a:ln>
                <a:solidFill>
                  <a:srgbClr val="000080"/>
                </a:solidFill>
                <a:prstDash val="solid"/>
              </a:ln>
            </c:spPr>
          </c:marker>
          <c:xVal>
            <c:numRef>
              <c:f>'§5.4 Luminance response (GSDF)'!$B$71:$B$87</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(GSDF)'!$F$71:$F$87</c:f>
              <c:numCache>
                <c:formatCode>0.000</c:formatCode>
                <c:ptCount val="17"/>
                <c:pt idx="0">
                  <c:v>1.3300492610837438</c:v>
                </c:pt>
                <c:pt idx="1">
                  <c:v>0.71482889733840305</c:v>
                </c:pt>
                <c:pt idx="2">
                  <c:v>0.54285714285714293</c:v>
                </c:pt>
                <c:pt idx="3">
                  <c:v>0.44638403990024939</c:v>
                </c:pt>
                <c:pt idx="4">
                  <c:v>0.43665338645418311</c:v>
                </c:pt>
                <c:pt idx="5">
                  <c:v>0.33260632497273729</c:v>
                </c:pt>
                <c:pt idx="6">
                  <c:v>0.34890003859513696</c:v>
                </c:pt>
                <c:pt idx="7">
                  <c:v>0.32272288824583167</c:v>
                </c:pt>
                <c:pt idx="8">
                  <c:v>0.30029242714530607</c:v>
                </c:pt>
                <c:pt idx="9">
                  <c:v>0.27063907209460986</c:v>
                </c:pt>
                <c:pt idx="10">
                  <c:v>0.27505183137525929</c:v>
                </c:pt>
                <c:pt idx="11">
                  <c:v>0.27161358067903402</c:v>
                </c:pt>
                <c:pt idx="12">
                  <c:v>0.26586506346025374</c:v>
                </c:pt>
                <c:pt idx="13">
                  <c:v>0.24339720352149147</c:v>
                </c:pt>
                <c:pt idx="14">
                  <c:v>0.2546333601933925</c:v>
                </c:pt>
                <c:pt idx="15">
                  <c:v>0.25940902021772932</c:v>
                </c:pt>
                <c:pt idx="16">
                  <c:v>0.2409492674657949</c:v>
                </c:pt>
              </c:numCache>
            </c:numRef>
          </c:yVal>
          <c:smooth val="1"/>
        </c:ser>
        <c:ser>
          <c:idx val="2"/>
          <c:order val="1"/>
          <c:tx>
            <c:v>DICOM 3.14</c:v>
          </c:tx>
          <c:spPr>
            <a:ln w="12700">
              <a:solidFill>
                <a:srgbClr val="006411"/>
              </a:solidFill>
              <a:prstDash val="solid"/>
            </a:ln>
          </c:spPr>
          <c:marker>
            <c:symbol val="none"/>
          </c:marker>
          <c:xVal>
            <c:numRef>
              <c:f>'§5.4 Luminance response (GSDF)'!$J$71:$J$87</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(GSDF)'!$M$71:$M$87</c:f>
              <c:numCache>
                <c:formatCode>0.000</c:formatCode>
                <c:ptCount val="17"/>
                <c:pt idx="0">
                  <c:v>1.0329338061549962</c:v>
                </c:pt>
                <c:pt idx="1">
                  <c:v>0.75205079325919599</c:v>
                </c:pt>
                <c:pt idx="2">
                  <c:v>0.59950610686912165</c:v>
                </c:pt>
                <c:pt idx="3">
                  <c:v>0.50554392890361433</c:v>
                </c:pt>
                <c:pt idx="4">
                  <c:v>0.44286491744986867</c:v>
                </c:pt>
                <c:pt idx="5">
                  <c:v>0.39869607110725713</c:v>
                </c:pt>
                <c:pt idx="6">
                  <c:v>0.36631506880228049</c:v>
                </c:pt>
                <c:pt idx="7">
                  <c:v>0.34186687705305396</c:v>
                </c:pt>
                <c:pt idx="8">
                  <c:v>0.32299149516940723</c:v>
                </c:pt>
                <c:pt idx="9">
                  <c:v>0.3081679482451502</c:v>
                </c:pt>
                <c:pt idx="10">
                  <c:v>0.29637442481007914</c:v>
                </c:pt>
                <c:pt idx="11">
                  <c:v>0.28690050941296902</c:v>
                </c:pt>
                <c:pt idx="12">
                  <c:v>0.27923784133129609</c:v>
                </c:pt>
                <c:pt idx="13">
                  <c:v>0.27301358761781619</c:v>
                </c:pt>
                <c:pt idx="14">
                  <c:v>0.26794843384128775</c:v>
                </c:pt>
                <c:pt idx="15">
                  <c:v>0.26382919747464895</c:v>
                </c:pt>
                <c:pt idx="16">
                  <c:v>0.26041586247405812</c:v>
                </c:pt>
              </c:numCache>
            </c:numRef>
          </c:yVal>
          <c:smooth val="1"/>
        </c:ser>
        <c:ser>
          <c:idx val="1"/>
          <c:order val="2"/>
          <c:tx>
            <c:v>+10%</c:v>
          </c:tx>
          <c:spPr>
            <a:ln w="12700">
              <a:solidFill>
                <a:srgbClr val="339966"/>
              </a:solidFill>
              <a:prstDash val="sysDash"/>
            </a:ln>
          </c:spPr>
          <c:marker>
            <c:symbol val="none"/>
          </c:marker>
          <c:xVal>
            <c:numRef>
              <c:f>'§5.4 Luminance response (GSDF)'!$J$71:$J$87</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(GSDF)'!$N$71:$N$87</c:f>
              <c:numCache>
                <c:formatCode>0.000</c:formatCode>
                <c:ptCount val="17"/>
                <c:pt idx="0">
                  <c:v>1.1362271867704958</c:v>
                </c:pt>
                <c:pt idx="1">
                  <c:v>0.82725587258511557</c:v>
                </c:pt>
                <c:pt idx="2">
                  <c:v>0.65945671755603386</c:v>
                </c:pt>
                <c:pt idx="3">
                  <c:v>0.55609832179397578</c:v>
                </c:pt>
                <c:pt idx="4">
                  <c:v>0.48715140919485556</c:v>
                </c:pt>
                <c:pt idx="5">
                  <c:v>0.43856567821798287</c:v>
                </c:pt>
                <c:pt idx="6">
                  <c:v>0.40294657568250852</c:v>
                </c:pt>
                <c:pt idx="7">
                  <c:v>0.37605356475835938</c:v>
                </c:pt>
                <c:pt idx="8">
                  <c:v>0.35529064468634797</c:v>
                </c:pt>
                <c:pt idx="9">
                  <c:v>0.3389847430696652</c:v>
                </c:pt>
                <c:pt idx="10">
                  <c:v>0.32601186729108705</c:v>
                </c:pt>
                <c:pt idx="11">
                  <c:v>0.31559056035426591</c:v>
                </c:pt>
                <c:pt idx="12">
                  <c:v>0.30716162546442571</c:v>
                </c:pt>
                <c:pt idx="13">
                  <c:v>0.30031494637959782</c:v>
                </c:pt>
                <c:pt idx="14">
                  <c:v>0.29474327722541654</c:v>
                </c:pt>
                <c:pt idx="15">
                  <c:v>0.29021211722211382</c:v>
                </c:pt>
                <c:pt idx="16">
                  <c:v>0.28645744872146395</c:v>
                </c:pt>
              </c:numCache>
            </c:numRef>
          </c:yVal>
          <c:smooth val="1"/>
        </c:ser>
        <c:ser>
          <c:idx val="3"/>
          <c:order val="3"/>
          <c:tx>
            <c:strRef>
              <c:f>'§5.4 Luminance response (GSDF)'!$C$7</c:f>
              <c:strCache>
                <c:ptCount val="1"/>
                <c:pt idx="0">
                  <c:v>+/-10%</c:v>
                </c:pt>
              </c:strCache>
            </c:strRef>
          </c:tx>
          <c:spPr>
            <a:ln w="12700">
              <a:solidFill>
                <a:srgbClr val="339966"/>
              </a:solidFill>
              <a:prstDash val="sysDash"/>
            </a:ln>
          </c:spPr>
          <c:marker>
            <c:symbol val="none"/>
          </c:marker>
          <c:xVal>
            <c:numRef>
              <c:f>'§5.4 Luminance response (GSDF)'!$J$71:$J$87</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(GSDF)'!$O$71:$O$87</c:f>
              <c:numCache>
                <c:formatCode>0.000</c:formatCode>
                <c:ptCount val="17"/>
                <c:pt idx="0">
                  <c:v>0.92964042553949655</c:v>
                </c:pt>
                <c:pt idx="1">
                  <c:v>0.67684571393327642</c:v>
                </c:pt>
                <c:pt idx="2">
                  <c:v>0.53955549618220944</c:v>
                </c:pt>
                <c:pt idx="3">
                  <c:v>0.45498953601325287</c:v>
                </c:pt>
                <c:pt idx="4">
                  <c:v>0.39857842570488178</c:v>
                </c:pt>
                <c:pt idx="5">
                  <c:v>0.3588264639965314</c:v>
                </c:pt>
                <c:pt idx="6">
                  <c:v>0.32968356192205245</c:v>
                </c:pt>
                <c:pt idx="7">
                  <c:v>0.30768018934774855</c:v>
                </c:pt>
                <c:pt idx="8">
                  <c:v>0.29069234565246649</c:v>
                </c:pt>
                <c:pt idx="9">
                  <c:v>0.27735115342063521</c:v>
                </c:pt>
                <c:pt idx="10">
                  <c:v>0.26673698232907123</c:v>
                </c:pt>
                <c:pt idx="11">
                  <c:v>0.25821045847167212</c:v>
                </c:pt>
                <c:pt idx="12">
                  <c:v>0.25131405719816646</c:v>
                </c:pt>
                <c:pt idx="13">
                  <c:v>0.24571222885603455</c:v>
                </c:pt>
                <c:pt idx="14">
                  <c:v>0.24115359045715898</c:v>
                </c:pt>
                <c:pt idx="15">
                  <c:v>0.23744627772718405</c:v>
                </c:pt>
                <c:pt idx="16">
                  <c:v>0.2343742762266523</c:v>
                </c:pt>
              </c:numCache>
            </c:numRef>
          </c:yVal>
          <c:smooth val="1"/>
        </c:ser>
        <c:dLbls>
          <c:showLegendKey val="0"/>
          <c:showVal val="0"/>
          <c:showCatName val="0"/>
          <c:showSerName val="0"/>
          <c:showPercent val="0"/>
          <c:showBubbleSize val="0"/>
        </c:dLbls>
        <c:axId val="288248960"/>
        <c:axId val="288250880"/>
      </c:scatterChart>
      <c:valAx>
        <c:axId val="28824896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nl-NL"/>
                  <a:t>p-values</a:t>
                </a:r>
              </a:p>
            </c:rich>
          </c:tx>
          <c:layout>
            <c:manualLayout>
              <c:xMode val="edge"/>
              <c:yMode val="edge"/>
              <c:x val="0.43488347401692318"/>
              <c:y val="0.8810558473467500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nl-NL"/>
          </a:p>
        </c:txPr>
        <c:crossAx val="288250880"/>
        <c:crossesAt val="0.1"/>
        <c:crossBetween val="midCat"/>
      </c:valAx>
      <c:valAx>
        <c:axId val="288250880"/>
        <c:scaling>
          <c:logBase val="10"/>
          <c:orientation val="minMax"/>
        </c:scaling>
        <c:delete val="0"/>
        <c:axPos val="l"/>
        <c:majorGridlines>
          <c:spPr>
            <a:ln w="3175">
              <a:solidFill>
                <a:srgbClr val="000000"/>
              </a:solidFill>
              <a:prstDash val="solid"/>
            </a:ln>
          </c:spPr>
        </c:majorGridlines>
        <c:title>
          <c:tx>
            <c:rich>
              <a:bodyPr/>
              <a:lstStyle/>
              <a:p>
                <a:pPr>
                  <a:defRPr sz="900" b="1" i="0" u="none" strike="noStrike" baseline="0">
                    <a:solidFill>
                      <a:srgbClr val="000000"/>
                    </a:solidFill>
                    <a:latin typeface="Arial"/>
                    <a:ea typeface="Arial"/>
                    <a:cs typeface="Arial"/>
                  </a:defRPr>
                </a:pPr>
                <a:r>
                  <a:rPr lang="nl-NL"/>
                  <a:t>dL/L</a:t>
                </a:r>
              </a:p>
            </c:rich>
          </c:tx>
          <c:layout>
            <c:manualLayout>
              <c:xMode val="edge"/>
              <c:yMode val="edge"/>
              <c:x val="2.3255800749568102E-2"/>
              <c:y val="0.38766457283257033"/>
            </c:manualLayout>
          </c:layout>
          <c:overlay val="0"/>
          <c:spPr>
            <a:noFill/>
            <a:ln w="25400">
              <a:noFill/>
            </a:ln>
          </c:spPr>
        </c:title>
        <c:numFmt formatCode="0.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nl-NL"/>
          </a:p>
        </c:txPr>
        <c:crossAx val="288248960"/>
        <c:crosses val="autoZero"/>
        <c:crossBetween val="midCat"/>
      </c:valAx>
      <c:spPr>
        <a:noFill/>
        <a:ln w="12700">
          <a:solidFill>
            <a:srgbClr val="808080"/>
          </a:solidFill>
          <a:prstDash val="solid"/>
        </a:ln>
      </c:spPr>
    </c:plotArea>
    <c:legend>
      <c:legendPos val="r"/>
      <c:legendEntry>
        <c:idx val="2"/>
        <c:delete val="1"/>
      </c:legendEntry>
      <c:layout>
        <c:manualLayout>
          <c:xMode val="edge"/>
          <c:yMode val="edge"/>
          <c:x val="0.70562551990493205"/>
          <c:y val="9.5636243492586578E-2"/>
          <c:w val="0.21860452704593997"/>
          <c:h val="0.16299533175914913"/>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nl-NL"/>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nl-NL"/>
    </a:p>
  </c:txPr>
  <c:printSettings>
    <c:headerFooter/>
    <c:pageMargins b="1" l="0.75000000000000033" r="0.75000000000000033"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25058004640408"/>
          <c:y val="9.8290598290598358E-2"/>
          <c:w val="0.80319682115270297"/>
          <c:h val="0.70085543208240764"/>
        </c:manualLayout>
      </c:layout>
      <c:scatterChart>
        <c:scatterStyle val="smoothMarker"/>
        <c:varyColors val="0"/>
        <c:ser>
          <c:idx val="0"/>
          <c:order val="0"/>
          <c:tx>
            <c:v>left monitor</c:v>
          </c:tx>
          <c:spPr>
            <a:ln w="12700">
              <a:solidFill>
                <a:srgbClr val="000080"/>
              </a:solidFill>
              <a:prstDash val="solid"/>
            </a:ln>
          </c:spPr>
          <c:marker>
            <c:symbol val="diamond"/>
            <c:size val="5"/>
            <c:spPr>
              <a:solidFill>
                <a:srgbClr val="000080"/>
              </a:solidFill>
              <a:ln>
                <a:solidFill>
                  <a:srgbClr val="000080"/>
                </a:solidFill>
                <a:prstDash val="solid"/>
              </a:ln>
            </c:spPr>
          </c:marker>
          <c:xVal>
            <c:numRef>
              <c:f>'§5.4 Luminance response (GSDF)'!$B$17:$B$34</c:f>
              <c:numCache>
                <c:formatCode>General</c:formatCode>
                <c:ptCount val="18"/>
                <c:pt idx="0">
                  <c:v>0</c:v>
                </c:pt>
                <c:pt idx="1">
                  <c:v>240</c:v>
                </c:pt>
                <c:pt idx="2">
                  <c:v>480</c:v>
                </c:pt>
                <c:pt idx="3">
                  <c:v>720</c:v>
                </c:pt>
                <c:pt idx="4">
                  <c:v>960</c:v>
                </c:pt>
                <c:pt idx="5">
                  <c:v>1200</c:v>
                </c:pt>
                <c:pt idx="6">
                  <c:v>1440</c:v>
                </c:pt>
                <c:pt idx="7">
                  <c:v>1680</c:v>
                </c:pt>
                <c:pt idx="8">
                  <c:v>1920</c:v>
                </c:pt>
                <c:pt idx="9">
                  <c:v>2160</c:v>
                </c:pt>
                <c:pt idx="10">
                  <c:v>2400</c:v>
                </c:pt>
                <c:pt idx="11">
                  <c:v>2640</c:v>
                </c:pt>
                <c:pt idx="12">
                  <c:v>2880</c:v>
                </c:pt>
                <c:pt idx="13">
                  <c:v>3120</c:v>
                </c:pt>
                <c:pt idx="14">
                  <c:v>3360</c:v>
                </c:pt>
                <c:pt idx="15">
                  <c:v>3600</c:v>
                </c:pt>
                <c:pt idx="16">
                  <c:v>3840</c:v>
                </c:pt>
                <c:pt idx="17">
                  <c:v>4080</c:v>
                </c:pt>
              </c:numCache>
            </c:numRef>
          </c:xVal>
          <c:yVal>
            <c:numRef>
              <c:f>'§5.4 Luminance response (GSDF)'!$D$17:$D$34</c:f>
              <c:numCache>
                <c:formatCode>0.000</c:formatCode>
                <c:ptCount val="18"/>
                <c:pt idx="0">
                  <c:v>52.469519830781024</c:v>
                </c:pt>
                <c:pt idx="1">
                  <c:v>95.347440012201474</c:v>
                </c:pt>
                <c:pt idx="2">
                  <c:v>138.19891404461436</c:v>
                </c:pt>
                <c:pt idx="3">
                  <c:v>177.75109813720042</c:v>
                </c:pt>
                <c:pt idx="4">
                  <c:v>215.18565480452443</c:v>
                </c:pt>
                <c:pt idx="5">
                  <c:v>254.48790356442939</c:v>
                </c:pt>
                <c:pt idx="6">
                  <c:v>293.43745482415829</c:v>
                </c:pt>
                <c:pt idx="7">
                  <c:v>331.02345661470611</c:v>
                </c:pt>
                <c:pt idx="8">
                  <c:v>367.73627608411027</c:v>
                </c:pt>
                <c:pt idx="9">
                  <c:v>403.66545916115086</c:v>
                </c:pt>
                <c:pt idx="10">
                  <c:v>440.21190627899995</c:v>
                </c:pt>
                <c:pt idx="11">
                  <c:v>474.69592242859682</c:v>
                </c:pt>
                <c:pt idx="12">
                  <c:v>511.7162191226613</c:v>
                </c:pt>
                <c:pt idx="13">
                  <c:v>548.85680928358192</c:v>
                </c:pt>
                <c:pt idx="14">
                  <c:v>583.51842556522399</c:v>
                </c:pt>
                <c:pt idx="15">
                  <c:v>620.41171917914903</c:v>
                </c:pt>
                <c:pt idx="16">
                  <c:v>658.55934816304364</c:v>
                </c:pt>
                <c:pt idx="17">
                  <c:v>694.39020826265903</c:v>
                </c:pt>
              </c:numCache>
            </c:numRef>
          </c:yVal>
          <c:smooth val="1"/>
        </c:ser>
        <c:ser>
          <c:idx val="1"/>
          <c:order val="1"/>
          <c:tx>
            <c:v>right monitor</c:v>
          </c:tx>
          <c:spPr>
            <a:ln w="12700">
              <a:solidFill>
                <a:srgbClr val="FF00FF"/>
              </a:solidFill>
              <a:prstDash val="solid"/>
            </a:ln>
          </c:spPr>
          <c:marker>
            <c:symbol val="square"/>
            <c:size val="5"/>
            <c:spPr>
              <a:solidFill>
                <a:srgbClr val="FF00FF"/>
              </a:solidFill>
              <a:ln>
                <a:solidFill>
                  <a:srgbClr val="FF00FF"/>
                </a:solidFill>
                <a:prstDash val="solid"/>
              </a:ln>
            </c:spPr>
          </c:marker>
          <c:xVal>
            <c:numRef>
              <c:f>'§5.4 Luminance response (GSDF)'!$B$70:$B$87</c:f>
              <c:numCache>
                <c:formatCode>General</c:formatCode>
                <c:ptCount val="18"/>
                <c:pt idx="0">
                  <c:v>0</c:v>
                </c:pt>
                <c:pt idx="1">
                  <c:v>240</c:v>
                </c:pt>
                <c:pt idx="2">
                  <c:v>480</c:v>
                </c:pt>
                <c:pt idx="3">
                  <c:v>720</c:v>
                </c:pt>
                <c:pt idx="4">
                  <c:v>960</c:v>
                </c:pt>
                <c:pt idx="5">
                  <c:v>1200</c:v>
                </c:pt>
                <c:pt idx="6">
                  <c:v>1440</c:v>
                </c:pt>
                <c:pt idx="7">
                  <c:v>1680</c:v>
                </c:pt>
                <c:pt idx="8">
                  <c:v>1920</c:v>
                </c:pt>
                <c:pt idx="9">
                  <c:v>2160</c:v>
                </c:pt>
                <c:pt idx="10">
                  <c:v>2400</c:v>
                </c:pt>
                <c:pt idx="11">
                  <c:v>2640</c:v>
                </c:pt>
                <c:pt idx="12">
                  <c:v>2880</c:v>
                </c:pt>
                <c:pt idx="13">
                  <c:v>3120</c:v>
                </c:pt>
                <c:pt idx="14">
                  <c:v>3360</c:v>
                </c:pt>
                <c:pt idx="15">
                  <c:v>3600</c:v>
                </c:pt>
                <c:pt idx="16">
                  <c:v>3840</c:v>
                </c:pt>
                <c:pt idx="17">
                  <c:v>4080</c:v>
                </c:pt>
              </c:numCache>
            </c:numRef>
          </c:xVal>
          <c:yVal>
            <c:numRef>
              <c:f>'§5.4 Luminance response (GSDF)'!$D$70:$D$87</c:f>
              <c:numCache>
                <c:formatCode>0.000</c:formatCode>
                <c:ptCount val="18"/>
                <c:pt idx="0">
                  <c:v>35.406715150237773</c:v>
                </c:pt>
                <c:pt idx="1">
                  <c:v>95.347440012201474</c:v>
                </c:pt>
                <c:pt idx="2">
                  <c:v>138.19891404461436</c:v>
                </c:pt>
                <c:pt idx="3">
                  <c:v>177.75109813720042</c:v>
                </c:pt>
                <c:pt idx="4">
                  <c:v>215.18565480452443</c:v>
                </c:pt>
                <c:pt idx="5">
                  <c:v>256.3572644304619</c:v>
                </c:pt>
                <c:pt idx="6">
                  <c:v>290.46737760645277</c:v>
                </c:pt>
                <c:pt idx="7">
                  <c:v>328.92633527009468</c:v>
                </c:pt>
                <c:pt idx="8">
                  <c:v>366.72087420739751</c:v>
                </c:pt>
                <c:pt idx="9">
                  <c:v>403.66545916115086</c:v>
                </c:pt>
                <c:pt idx="10">
                  <c:v>438.28911876714824</c:v>
                </c:pt>
                <c:pt idx="11">
                  <c:v>474.69592242859682</c:v>
                </c:pt>
                <c:pt idx="12">
                  <c:v>511.7162191226613</c:v>
                </c:pt>
                <c:pt idx="13">
                  <c:v>548.85680928358192</c:v>
                </c:pt>
                <c:pt idx="14">
                  <c:v>583.51842556522399</c:v>
                </c:pt>
                <c:pt idx="15">
                  <c:v>620.41171917914903</c:v>
                </c:pt>
                <c:pt idx="16">
                  <c:v>658.55934816304364</c:v>
                </c:pt>
                <c:pt idx="17">
                  <c:v>694.39020826265903</c:v>
                </c:pt>
              </c:numCache>
            </c:numRef>
          </c:yVal>
          <c:smooth val="1"/>
        </c:ser>
        <c:ser>
          <c:idx val="2"/>
          <c:order val="2"/>
          <c:tx>
            <c:v>DICOM 3.14</c:v>
          </c:tx>
          <c:spPr>
            <a:ln w="12700">
              <a:solidFill>
                <a:srgbClr val="339966"/>
              </a:solidFill>
              <a:prstDash val="solid"/>
            </a:ln>
          </c:spPr>
          <c:marker>
            <c:symbol val="none"/>
          </c:marker>
          <c:xVal>
            <c:numRef>
              <c:f>'§5.4 Luminance response (GSDF)'!$J$17:$J$34</c:f>
              <c:numCache>
                <c:formatCode>General</c:formatCode>
                <c:ptCount val="18"/>
                <c:pt idx="0">
                  <c:v>0</c:v>
                </c:pt>
                <c:pt idx="1">
                  <c:v>240</c:v>
                </c:pt>
                <c:pt idx="2">
                  <c:v>480</c:v>
                </c:pt>
                <c:pt idx="3">
                  <c:v>720</c:v>
                </c:pt>
                <c:pt idx="4">
                  <c:v>960</c:v>
                </c:pt>
                <c:pt idx="5">
                  <c:v>1200</c:v>
                </c:pt>
                <c:pt idx="6">
                  <c:v>1440</c:v>
                </c:pt>
                <c:pt idx="7">
                  <c:v>1680</c:v>
                </c:pt>
                <c:pt idx="8">
                  <c:v>1920</c:v>
                </c:pt>
                <c:pt idx="9">
                  <c:v>2160</c:v>
                </c:pt>
                <c:pt idx="10">
                  <c:v>2400</c:v>
                </c:pt>
                <c:pt idx="11">
                  <c:v>2640</c:v>
                </c:pt>
                <c:pt idx="12">
                  <c:v>2880</c:v>
                </c:pt>
                <c:pt idx="13">
                  <c:v>3120</c:v>
                </c:pt>
                <c:pt idx="14">
                  <c:v>3360</c:v>
                </c:pt>
                <c:pt idx="15">
                  <c:v>3600</c:v>
                </c:pt>
                <c:pt idx="16">
                  <c:v>3840</c:v>
                </c:pt>
                <c:pt idx="17">
                  <c:v>4080</c:v>
                </c:pt>
              </c:numCache>
            </c:numRef>
          </c:xVal>
          <c:yVal>
            <c:numRef>
              <c:f>'§5.4 Luminance response (GSDF)'!$L$17:$L$34</c:f>
              <c:numCache>
                <c:formatCode>0.000</c:formatCode>
                <c:ptCount val="18"/>
                <c:pt idx="0">
                  <c:v>52.469519830781024</c:v>
                </c:pt>
                <c:pt idx="1">
                  <c:v>90.22956032677385</c:v>
                </c:pt>
                <c:pt idx="2">
                  <c:v>127.98960082276668</c:v>
                </c:pt>
                <c:pt idx="3">
                  <c:v>165.7496413187595</c:v>
                </c:pt>
                <c:pt idx="4">
                  <c:v>203.50968181475233</c:v>
                </c:pt>
                <c:pt idx="5">
                  <c:v>241.26972231074515</c:v>
                </c:pt>
                <c:pt idx="6">
                  <c:v>279.02976280673795</c:v>
                </c:pt>
                <c:pt idx="7">
                  <c:v>316.78980330273077</c:v>
                </c:pt>
                <c:pt idx="8">
                  <c:v>354.5498437987236</c:v>
                </c:pt>
                <c:pt idx="9">
                  <c:v>392.30988429471643</c:v>
                </c:pt>
                <c:pt idx="10">
                  <c:v>430.06992479070925</c:v>
                </c:pt>
                <c:pt idx="11">
                  <c:v>467.82996528670208</c:v>
                </c:pt>
                <c:pt idx="12">
                  <c:v>505.5900057826949</c:v>
                </c:pt>
                <c:pt idx="13">
                  <c:v>543.35004627868773</c:v>
                </c:pt>
                <c:pt idx="14">
                  <c:v>581.11008677468055</c:v>
                </c:pt>
                <c:pt idx="15">
                  <c:v>618.87012727067338</c:v>
                </c:pt>
                <c:pt idx="16">
                  <c:v>656.6301677666662</c:v>
                </c:pt>
                <c:pt idx="17">
                  <c:v>694.39020826265903</c:v>
                </c:pt>
              </c:numCache>
            </c:numRef>
          </c:yVal>
          <c:smooth val="1"/>
        </c:ser>
        <c:dLbls>
          <c:showLegendKey val="0"/>
          <c:showVal val="0"/>
          <c:showCatName val="0"/>
          <c:showSerName val="0"/>
          <c:showPercent val="0"/>
          <c:showBubbleSize val="0"/>
        </c:dLbls>
        <c:axId val="288290304"/>
        <c:axId val="288292224"/>
      </c:scatterChart>
      <c:valAx>
        <c:axId val="28829030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nl-NL"/>
                  <a:t>p-value</a:t>
                </a:r>
              </a:p>
            </c:rich>
          </c:tx>
          <c:layout>
            <c:manualLayout>
              <c:xMode val="edge"/>
              <c:yMode val="edge"/>
              <c:x val="0.3758700696055684"/>
              <c:y val="0.8803427988352173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88292224"/>
        <c:crosses val="autoZero"/>
        <c:crossBetween val="midCat"/>
      </c:valAx>
      <c:valAx>
        <c:axId val="288292224"/>
        <c:scaling>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nl-NL"/>
                  <a:t>JND</a:t>
                </a:r>
              </a:p>
            </c:rich>
          </c:tx>
          <c:layout>
            <c:manualLayout>
              <c:xMode val="edge"/>
              <c:yMode val="edge"/>
              <c:x val="3.0162412993039397E-2"/>
              <c:y val="0.3290601723801543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88290304"/>
        <c:crosses val="autoZero"/>
        <c:crossBetween val="midCat"/>
      </c:valAx>
      <c:spPr>
        <a:noFill/>
        <a:ln w="12700">
          <a:solidFill>
            <a:srgbClr val="808080"/>
          </a:solidFill>
          <a:prstDash val="solid"/>
        </a:ln>
      </c:spPr>
    </c:plotArea>
    <c:legend>
      <c:legendPos val="r"/>
      <c:layout>
        <c:manualLayout>
          <c:xMode val="edge"/>
          <c:yMode val="edge"/>
          <c:x val="0.14135576351752804"/>
          <c:y val="0.116373161424456"/>
          <c:w val="0.19721577726218101"/>
          <c:h val="0.17094034928839216"/>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nl-NL"/>
        </a:p>
      </c:txPr>
    </c:legend>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nl-NL"/>
    </a:p>
  </c:txPr>
  <c:printSettings>
    <c:headerFooter/>
    <c:pageMargins b="1" l="0.75000000000000033" r="0.75000000000000033"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63500</xdr:colOff>
      <xdr:row>6</xdr:row>
      <xdr:rowOff>12700</xdr:rowOff>
    </xdr:from>
    <xdr:to>
      <xdr:col>6</xdr:col>
      <xdr:colOff>812800</xdr:colOff>
      <xdr:row>31</xdr:row>
      <xdr:rowOff>101600</xdr:rowOff>
    </xdr:to>
    <xdr:pic>
      <xdr:nvPicPr>
        <xdr:cNvPr id="2" name="Afbeelding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9000" y="927100"/>
          <a:ext cx="4876800" cy="389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355600</xdr:colOff>
      <xdr:row>37</xdr:row>
      <xdr:rowOff>139700</xdr:rowOff>
    </xdr:from>
    <xdr:to>
      <xdr:col>8</xdr:col>
      <xdr:colOff>431800</xdr:colOff>
      <xdr:row>62</xdr:row>
      <xdr:rowOff>12700</xdr:rowOff>
    </xdr:to>
    <xdr:graphicFrame macro="">
      <xdr:nvGraphicFramePr>
        <xdr:cNvPr id="2" name="Grafiek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406400</xdr:colOff>
      <xdr:row>90</xdr:row>
      <xdr:rowOff>139700</xdr:rowOff>
    </xdr:from>
    <xdr:to>
      <xdr:col>8</xdr:col>
      <xdr:colOff>496300</xdr:colOff>
      <xdr:row>115</xdr:row>
      <xdr:rowOff>22899</xdr:rowOff>
    </xdr:to>
    <xdr:graphicFrame macro="">
      <xdr:nvGraphicFramePr>
        <xdr:cNvPr id="3" name="Grafiek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419100</xdr:colOff>
      <xdr:row>119</xdr:row>
      <xdr:rowOff>38100</xdr:rowOff>
    </xdr:from>
    <xdr:to>
      <xdr:col>8</xdr:col>
      <xdr:colOff>509000</xdr:colOff>
      <xdr:row>143</xdr:row>
      <xdr:rowOff>124499</xdr:rowOff>
    </xdr:to>
    <xdr:graphicFrame macro="">
      <xdr:nvGraphicFramePr>
        <xdr:cNvPr id="4" name="Grafiek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19050</xdr:rowOff>
        </xdr:from>
        <xdr:to>
          <xdr:col>9</xdr:col>
          <xdr:colOff>352425</xdr:colOff>
          <xdr:row>18</xdr:row>
          <xdr:rowOff>95250</xdr:rowOff>
        </xdr:to>
        <xdr:sp macro="" textlink="">
          <xdr:nvSpPr>
            <xdr:cNvPr id="5122" name="Object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19050</xdr:rowOff>
        </xdr:from>
        <xdr:to>
          <xdr:col>9</xdr:col>
          <xdr:colOff>352425</xdr:colOff>
          <xdr:row>18</xdr:row>
          <xdr:rowOff>95250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3.xml"/><Relationship Id="rId4" Type="http://schemas.openxmlformats.org/officeDocument/2006/relationships/image" Target="../media/image2.emf"/></Relationships>
</file>

<file path=xl/worksheets/_rels/sheet12.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drawing" Target="../drawings/drawing4.xml"/><Relationship Id="rId4" Type="http://schemas.openxmlformats.org/officeDocument/2006/relationships/image" Target="../media/image2.emf"/></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0"/>
  <sheetViews>
    <sheetView tabSelected="1" workbookViewId="0"/>
  </sheetViews>
  <sheetFormatPr defaultColWidth="10.85546875" defaultRowHeight="12.75"/>
  <cols>
    <col min="1" max="1" width="5" style="61" customWidth="1"/>
    <col min="2" max="16384" width="10.85546875" style="61"/>
  </cols>
  <sheetData>
    <row r="2" spans="2:2" ht="30">
      <c r="B2" s="174" t="s">
        <v>178</v>
      </c>
    </row>
    <row r="4" spans="2:2" ht="20.25">
      <c r="B4" s="175" t="s">
        <v>172</v>
      </c>
    </row>
    <row r="34" spans="2:2">
      <c r="B34" s="187"/>
    </row>
    <row r="36" spans="2:2">
      <c r="B36" s="184" t="s">
        <v>173</v>
      </c>
    </row>
    <row r="37" spans="2:2">
      <c r="B37" s="61" t="s">
        <v>174</v>
      </c>
    </row>
    <row r="38" spans="2:2">
      <c r="B38" s="188" t="s">
        <v>175</v>
      </c>
    </row>
    <row r="39" spans="2:2">
      <c r="B39" s="188" t="s">
        <v>176</v>
      </c>
    </row>
    <row r="40" spans="2:2">
      <c r="B40" s="61" t="s">
        <v>177</v>
      </c>
    </row>
  </sheetData>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2"/>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166</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IF(H12="&lt;&lt; kies &gt;&gt;","?",IF(H13="&lt;&lt; kies &gt;&gt;","?",IF(H14="&lt;&lt; kies &gt;&gt;","?",IF(H20="Ja",H16,IF(H20="Nee",H22,H16)))))</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80</v>
      </c>
      <c r="I6" s="207"/>
      <c r="J6" s="208"/>
    </row>
    <row r="8" spans="1:251" s="4" customFormat="1" ht="18" customHeight="1">
      <c r="A8" s="19" t="s">
        <v>41</v>
      </c>
      <c r="B8" s="20"/>
      <c r="C8" s="20"/>
      <c r="D8" s="20"/>
      <c r="E8" s="20"/>
      <c r="F8" s="20"/>
      <c r="G8" s="20"/>
      <c r="H8" s="21"/>
      <c r="I8" s="21"/>
      <c r="J8" s="21"/>
      <c r="K8" s="2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row>
    <row r="10" spans="1:251" ht="15">
      <c r="A10" s="230" t="s">
        <v>76</v>
      </c>
      <c r="B10" s="230"/>
      <c r="C10" s="230"/>
      <c r="D10" s="230"/>
      <c r="E10" s="230"/>
      <c r="F10" s="230"/>
      <c r="G10" s="230"/>
      <c r="H10" s="230"/>
      <c r="I10" s="230"/>
      <c r="J10" s="230"/>
      <c r="K10" s="230"/>
      <c r="L10" s="4"/>
      <c r="M10" s="4"/>
      <c r="N10" s="4"/>
    </row>
    <row r="11" spans="1:251" ht="14.25">
      <c r="A11" s="180" t="s">
        <v>30</v>
      </c>
      <c r="B11" s="180"/>
      <c r="C11" s="180"/>
      <c r="D11" s="4"/>
      <c r="E11" s="4"/>
      <c r="F11" s="4"/>
      <c r="G11" s="4"/>
      <c r="H11" s="92" t="s">
        <v>24</v>
      </c>
      <c r="I11" s="231" t="s">
        <v>31</v>
      </c>
      <c r="J11" s="231"/>
      <c r="K11" s="231"/>
      <c r="L11" s="4"/>
      <c r="M11" s="4"/>
      <c r="N11" s="4"/>
    </row>
    <row r="12" spans="1:251" ht="39.950000000000003" customHeight="1">
      <c r="A12" s="232" t="s">
        <v>157</v>
      </c>
      <c r="B12" s="232"/>
      <c r="C12" s="232"/>
      <c r="D12" s="232"/>
      <c r="E12" s="232"/>
      <c r="F12" s="232"/>
      <c r="G12" s="232"/>
      <c r="H12" s="62" t="s">
        <v>33</v>
      </c>
      <c r="I12" s="229"/>
      <c r="J12" s="229"/>
      <c r="K12" s="229"/>
      <c r="L12" s="97"/>
      <c r="M12" s="97"/>
      <c r="N12" s="97"/>
    </row>
    <row r="13" spans="1:251" ht="39.950000000000003" customHeight="1">
      <c r="A13" s="233" t="s">
        <v>158</v>
      </c>
      <c r="B13" s="233"/>
      <c r="C13" s="233"/>
      <c r="D13" s="233"/>
      <c r="E13" s="233"/>
      <c r="F13" s="233"/>
      <c r="G13" s="233"/>
      <c r="H13" s="62" t="s">
        <v>33</v>
      </c>
      <c r="I13" s="234"/>
      <c r="J13" s="234"/>
      <c r="K13" s="234"/>
      <c r="L13" s="234"/>
      <c r="M13" s="234"/>
      <c r="N13" s="234"/>
    </row>
    <row r="14" spans="1:251" ht="39.950000000000003" customHeight="1">
      <c r="A14" s="232" t="s">
        <v>77</v>
      </c>
      <c r="B14" s="232"/>
      <c r="C14" s="232"/>
      <c r="D14" s="232"/>
      <c r="E14" s="232"/>
      <c r="F14" s="232"/>
      <c r="G14" s="232"/>
      <c r="H14" s="62" t="s">
        <v>33</v>
      </c>
      <c r="I14" s="229"/>
      <c r="J14" s="229"/>
      <c r="K14" s="229"/>
      <c r="L14" s="97"/>
      <c r="M14" s="97"/>
      <c r="N14" s="97"/>
    </row>
    <row r="15" spans="1:251" ht="14.25">
      <c r="A15" s="181"/>
      <c r="B15" s="181"/>
      <c r="C15" s="181"/>
      <c r="D15" s="181"/>
      <c r="E15" s="181"/>
      <c r="F15" s="181"/>
      <c r="G15" s="181"/>
      <c r="H15" s="181"/>
      <c r="I15" s="181"/>
      <c r="J15" s="181"/>
      <c r="K15" s="181"/>
      <c r="L15" s="181"/>
      <c r="M15" s="181"/>
      <c r="N15" s="181"/>
    </row>
    <row r="16" spans="1:251" ht="15.75">
      <c r="A16" s="180"/>
      <c r="B16" s="180"/>
      <c r="C16" s="180"/>
      <c r="D16" s="180"/>
      <c r="E16" s="180"/>
      <c r="F16" s="228" t="s">
        <v>40</v>
      </c>
      <c r="G16" s="228"/>
      <c r="H16" s="94" t="str">
        <f>IF(H12="&lt;&lt; kies &gt;&gt;","?",IF(H13="&lt;&lt; kies &gt;&gt;","?",IF(H14="&lt;&lt; kies &gt;&gt;","?",IF(H12="Nee",IF(H13="Nee",IF(H14="Nee","Pass","Fail"),"Fail"),"Fail"))))</f>
        <v>?</v>
      </c>
      <c r="I16" s="180"/>
      <c r="J16" s="180"/>
      <c r="K16" s="180"/>
      <c r="L16" s="4"/>
      <c r="M16" s="4"/>
      <c r="N16" s="4"/>
    </row>
    <row r="17" spans="1:14" ht="14.25">
      <c r="A17" s="95"/>
      <c r="B17" s="95"/>
      <c r="C17" s="95"/>
      <c r="D17" s="95"/>
      <c r="E17" s="95"/>
      <c r="F17" s="95"/>
      <c r="G17" s="95"/>
      <c r="H17" s="96"/>
      <c r="I17" s="95"/>
      <c r="J17" s="95"/>
      <c r="K17" s="95"/>
      <c r="L17" s="95"/>
      <c r="M17" s="95"/>
      <c r="N17" s="95"/>
    </row>
    <row r="18" spans="1:14" ht="15">
      <c r="A18" s="230" t="s">
        <v>78</v>
      </c>
      <c r="B18" s="230"/>
      <c r="C18" s="230"/>
      <c r="D18" s="230"/>
      <c r="E18" s="230"/>
      <c r="F18" s="230"/>
      <c r="G18" s="230"/>
      <c r="H18" s="230"/>
      <c r="I18" s="230"/>
      <c r="J18" s="230"/>
      <c r="K18" s="230"/>
      <c r="L18" s="4"/>
      <c r="M18" s="4"/>
      <c r="N18" s="4"/>
    </row>
    <row r="19" spans="1:14" ht="14.25">
      <c r="A19" s="180" t="s">
        <v>30</v>
      </c>
      <c r="B19" s="180"/>
      <c r="C19" s="180"/>
      <c r="D19" s="4"/>
      <c r="E19" s="4"/>
      <c r="F19" s="4"/>
      <c r="G19" s="4"/>
      <c r="H19" s="92" t="s">
        <v>24</v>
      </c>
      <c r="I19" s="231" t="s">
        <v>79</v>
      </c>
      <c r="J19" s="231"/>
      <c r="K19" s="231"/>
      <c r="L19" s="4"/>
      <c r="M19" s="4"/>
      <c r="N19" s="4"/>
    </row>
    <row r="20" spans="1:14" ht="39.950000000000003" customHeight="1">
      <c r="A20" s="232" t="s">
        <v>159</v>
      </c>
      <c r="B20" s="232"/>
      <c r="C20" s="232"/>
      <c r="D20" s="232"/>
      <c r="E20" s="232"/>
      <c r="F20" s="232"/>
      <c r="G20" s="232"/>
      <c r="H20" s="62" t="s">
        <v>33</v>
      </c>
      <c r="I20" s="229"/>
      <c r="J20" s="229"/>
      <c r="K20" s="229"/>
      <c r="L20" s="97"/>
      <c r="M20" s="97"/>
      <c r="N20" s="97"/>
    </row>
    <row r="21" spans="1:14" ht="14.25">
      <c r="A21" s="181"/>
      <c r="B21" s="181"/>
      <c r="C21" s="181"/>
      <c r="D21" s="181"/>
      <c r="E21" s="181"/>
      <c r="F21" s="181"/>
      <c r="G21" s="181"/>
      <c r="H21" s="181"/>
      <c r="I21" s="181"/>
      <c r="J21" s="181"/>
      <c r="K21" s="181"/>
      <c r="L21" s="181"/>
      <c r="M21" s="181"/>
      <c r="N21" s="181"/>
    </row>
    <row r="22" spans="1:14" ht="15.75">
      <c r="A22" s="180"/>
      <c r="B22" s="180"/>
      <c r="C22" s="180"/>
      <c r="D22" s="180"/>
      <c r="E22" s="180"/>
      <c r="F22" s="228" t="s">
        <v>40</v>
      </c>
      <c r="G22" s="228"/>
      <c r="H22" s="94" t="str">
        <f>IF(H20="&lt;&lt; kies &gt;&gt;","?",IF(H20="Nee","Pass","Fail"))</f>
        <v>?</v>
      </c>
      <c r="I22" s="180"/>
      <c r="J22" s="180"/>
      <c r="K22" s="180"/>
      <c r="L22" s="4"/>
      <c r="M22" s="4"/>
      <c r="N22" s="4"/>
    </row>
  </sheetData>
  <mergeCells count="18">
    <mergeCell ref="F22:G22"/>
    <mergeCell ref="A12:G12"/>
    <mergeCell ref="I12:K12"/>
    <mergeCell ref="A13:G13"/>
    <mergeCell ref="I13:N13"/>
    <mergeCell ref="A14:G14"/>
    <mergeCell ref="I14:K14"/>
    <mergeCell ref="F16:G16"/>
    <mergeCell ref="A18:K18"/>
    <mergeCell ref="I19:K19"/>
    <mergeCell ref="A20:G20"/>
    <mergeCell ref="I20:K20"/>
    <mergeCell ref="I11:K11"/>
    <mergeCell ref="I3:J4"/>
    <mergeCell ref="C4:D4"/>
    <mergeCell ref="I5:J6"/>
    <mergeCell ref="A6:B6"/>
    <mergeCell ref="A10:K10"/>
  </mergeCells>
  <conditionalFormatting sqref="H16 H22">
    <cfRule type="cellIs" dxfId="61" priority="11" stopIfTrue="1" operator="equal">
      <formula>"Fail"</formula>
    </cfRule>
    <cfRule type="cellIs" dxfId="60" priority="12" stopIfTrue="1" operator="equal">
      <formula>"Pass"</formula>
    </cfRule>
  </conditionalFormatting>
  <conditionalFormatting sqref="I5:J6">
    <cfRule type="containsText" dxfId="59" priority="9" operator="containsText" text="Pass">
      <formula>NOT(ISERROR(SEARCH("Pass",I5)))</formula>
    </cfRule>
    <cfRule type="containsText" dxfId="58" priority="10" operator="containsText" text="Fail">
      <formula>NOT(ISERROR(SEARCH("Fail",I5)))</formula>
    </cfRule>
  </conditionalFormatting>
  <conditionalFormatting sqref="H12">
    <cfRule type="cellIs" dxfId="57" priority="7" stopIfTrue="1" operator="equal">
      <formula>"Ja"</formula>
    </cfRule>
    <cfRule type="cellIs" dxfId="56" priority="8" stopIfTrue="1" operator="equal">
      <formula>"Nee"</formula>
    </cfRule>
  </conditionalFormatting>
  <conditionalFormatting sqref="H13">
    <cfRule type="cellIs" dxfId="55" priority="5" stopIfTrue="1" operator="equal">
      <formula>"Ja"</formula>
    </cfRule>
    <cfRule type="cellIs" dxfId="54" priority="6" stopIfTrue="1" operator="equal">
      <formula>"Nee"</formula>
    </cfRule>
  </conditionalFormatting>
  <conditionalFormatting sqref="H14">
    <cfRule type="cellIs" dxfId="53" priority="3" stopIfTrue="1" operator="equal">
      <formula>"Ja"</formula>
    </cfRule>
    <cfRule type="cellIs" dxfId="52" priority="4" stopIfTrue="1" operator="equal">
      <formula>"Nee"</formula>
    </cfRule>
  </conditionalFormatting>
  <conditionalFormatting sqref="H20">
    <cfRule type="cellIs" dxfId="51" priority="1" stopIfTrue="1" operator="equal">
      <formula>"Ja"</formula>
    </cfRule>
    <cfRule type="cellIs" dxfId="50" priority="2" stopIfTrue="1" operator="equal">
      <formula>"Nee"</formula>
    </cfRule>
  </conditionalFormatting>
  <dataValidations count="2">
    <dataValidation type="list" allowBlank="1" showInputMessage="1" showErrorMessage="1" sqref="H20 H17 H12:H14">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Q37"/>
  <sheetViews>
    <sheetView topLeftCell="A4" workbookViewId="0">
      <selection activeCell="F33" sqref="F33"/>
    </sheetView>
  </sheetViews>
  <sheetFormatPr defaultColWidth="10.85546875" defaultRowHeight="12.75"/>
  <cols>
    <col min="1" max="8" width="10.85546875" style="61"/>
    <col min="9" max="9" width="6.42578125" style="61" customWidth="1"/>
    <col min="10" max="10" width="10.85546875" style="61"/>
    <col min="11" max="11" width="3.140625" style="61" customWidth="1"/>
    <col min="12" max="16384" width="10.85546875" style="61"/>
  </cols>
  <sheetData>
    <row r="1" spans="1:249" s="4" customFormat="1" ht="29.1" customHeight="1">
      <c r="A1" s="2" t="s">
        <v>167</v>
      </c>
      <c r="B1" s="3"/>
      <c r="C1" s="3"/>
      <c r="D1" s="3"/>
      <c r="E1" s="3"/>
      <c r="F1" s="3"/>
      <c r="G1" s="3"/>
      <c r="H1" s="3"/>
      <c r="I1" s="3"/>
      <c r="J1" s="3"/>
      <c r="K1" s="3"/>
    </row>
    <row r="2" spans="1:249" s="4" customFormat="1" ht="13.5" thickBot="1">
      <c r="A2" s="5"/>
    </row>
    <row r="3" spans="1:249" s="4" customFormat="1" ht="15.95" customHeight="1">
      <c r="A3" s="6" t="s">
        <v>20</v>
      </c>
      <c r="B3" s="7"/>
      <c r="C3" s="7"/>
      <c r="D3" s="7"/>
      <c r="H3" s="215" t="s">
        <v>24</v>
      </c>
      <c r="I3" s="216"/>
      <c r="J3" s="8"/>
      <c r="K3" s="9"/>
    </row>
    <row r="4" spans="1:249" s="4" customFormat="1" ht="12.95" customHeight="1">
      <c r="A4" s="10" t="s">
        <v>21</v>
      </c>
      <c r="B4" s="11"/>
      <c r="C4" s="190"/>
      <c r="D4" s="190"/>
      <c r="E4" s="11"/>
      <c r="F4" s="11"/>
      <c r="H4" s="217"/>
      <c r="I4" s="218"/>
      <c r="J4" s="12"/>
      <c r="K4" s="13"/>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49" s="4" customFormat="1" ht="12.95" customHeight="1">
      <c r="A5" s="10"/>
      <c r="B5" s="11"/>
      <c r="C5" s="11"/>
      <c r="D5" s="11"/>
      <c r="E5" s="11"/>
      <c r="F5" s="11"/>
      <c r="H5" s="225" t="s">
        <v>62</v>
      </c>
      <c r="I5" s="226"/>
      <c r="J5" s="212" t="str">
        <f>IF(E30="?","?",IF(E31="?","?",IF(E32="?","?",IF(E33="?","?",E35))))</f>
        <v>?</v>
      </c>
      <c r="K5" s="213"/>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49" s="4" customFormat="1" ht="15.95" customHeight="1" thickBot="1">
      <c r="A6" s="209" t="s">
        <v>74</v>
      </c>
      <c r="B6" s="209"/>
      <c r="C6" s="68" t="s">
        <v>59</v>
      </c>
      <c r="D6" s="196" t="s">
        <v>68</v>
      </c>
      <c r="E6" s="196"/>
      <c r="F6" s="196"/>
      <c r="G6" s="196"/>
      <c r="H6" s="223" t="s">
        <v>63</v>
      </c>
      <c r="I6" s="224"/>
      <c r="J6" s="210" t="str">
        <f>IF(F30="?","?",IF(F31="?","?",IF(F32="?","?",IF(F33="?","?",F35))))</f>
        <v>?</v>
      </c>
      <c r="K6" s="211"/>
    </row>
    <row r="7" spans="1:249" ht="28.5">
      <c r="C7" s="69" t="s">
        <v>64</v>
      </c>
      <c r="D7" s="69" t="s">
        <v>69</v>
      </c>
      <c r="E7" s="70"/>
      <c r="F7" s="71"/>
      <c r="G7" s="71"/>
    </row>
    <row r="8" spans="1:249" ht="26.1" customHeight="1">
      <c r="C8" s="60" t="s">
        <v>65</v>
      </c>
      <c r="D8" s="60" t="s">
        <v>69</v>
      </c>
      <c r="E8" s="71"/>
      <c r="F8" s="71"/>
      <c r="G8" s="71"/>
    </row>
    <row r="9" spans="1:249" ht="28.5">
      <c r="C9" s="69" t="s">
        <v>66</v>
      </c>
      <c r="D9" s="69" t="s">
        <v>70</v>
      </c>
      <c r="E9" s="70"/>
      <c r="F9" s="71"/>
      <c r="G9" s="71"/>
    </row>
    <row r="10" spans="1:249" ht="28.5">
      <c r="C10" s="60" t="s">
        <v>67</v>
      </c>
      <c r="D10" s="194" t="s">
        <v>71</v>
      </c>
      <c r="E10" s="194"/>
      <c r="F10" s="71"/>
      <c r="G10" s="71"/>
    </row>
    <row r="12" spans="1:249" ht="30">
      <c r="A12" s="209" t="s">
        <v>75</v>
      </c>
      <c r="B12" s="209"/>
      <c r="C12" s="68" t="s">
        <v>59</v>
      </c>
      <c r="D12" s="196" t="s">
        <v>68</v>
      </c>
      <c r="E12" s="196"/>
      <c r="F12" s="196"/>
      <c r="G12" s="196"/>
    </row>
    <row r="13" spans="1:249" ht="28.5">
      <c r="C13" s="69" t="s">
        <v>64</v>
      </c>
      <c r="D13" s="69" t="s">
        <v>72</v>
      </c>
      <c r="E13" s="70"/>
      <c r="F13" s="71"/>
      <c r="G13" s="71"/>
    </row>
    <row r="14" spans="1:249" ht="26.1" customHeight="1">
      <c r="C14" s="60" t="s">
        <v>65</v>
      </c>
      <c r="D14" s="60" t="s">
        <v>73</v>
      </c>
      <c r="E14" s="71"/>
      <c r="F14" s="71"/>
      <c r="G14" s="71"/>
    </row>
    <row r="15" spans="1:249" ht="28.5">
      <c r="C15" s="69" t="s">
        <v>66</v>
      </c>
      <c r="D15" s="69" t="s">
        <v>73</v>
      </c>
      <c r="E15" s="70"/>
      <c r="F15" s="71"/>
      <c r="G15" s="71"/>
    </row>
    <row r="16" spans="1:249" ht="28.5">
      <c r="C16" s="60" t="s">
        <v>67</v>
      </c>
      <c r="D16" s="194" t="s">
        <v>72</v>
      </c>
      <c r="E16" s="194"/>
      <c r="F16" s="71"/>
      <c r="G16" s="71"/>
    </row>
    <row r="22" spans="1:251" s="4" customFormat="1" ht="18" customHeight="1">
      <c r="A22" s="19" t="s">
        <v>41</v>
      </c>
      <c r="B22" s="20"/>
      <c r="C22" s="20"/>
      <c r="D22" s="20"/>
      <c r="E22" s="20"/>
      <c r="F22" s="20"/>
      <c r="G22" s="20"/>
      <c r="H22" s="21"/>
      <c r="I22" s="21"/>
      <c r="J22" s="21"/>
      <c r="K22" s="2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c r="FQ22" s="11"/>
      <c r="FR22" s="11"/>
      <c r="FS22" s="11"/>
      <c r="FT22" s="11"/>
      <c r="FU22" s="11"/>
      <c r="FV22" s="11"/>
      <c r="FW22" s="11"/>
      <c r="FX22" s="11"/>
      <c r="FY22" s="11"/>
      <c r="FZ22" s="11"/>
      <c r="GA22" s="11"/>
      <c r="GB22" s="11"/>
      <c r="GC22" s="11"/>
      <c r="GD22" s="11"/>
      <c r="GE22" s="11"/>
      <c r="GF22" s="11"/>
      <c r="GG22" s="11"/>
      <c r="GH22" s="11"/>
      <c r="GI22" s="11"/>
      <c r="GJ22" s="11"/>
      <c r="GK22" s="11"/>
      <c r="GL22" s="11"/>
      <c r="GM22" s="11"/>
      <c r="GN22" s="11"/>
      <c r="GO22" s="11"/>
      <c r="GP22" s="11"/>
      <c r="GQ22" s="11"/>
      <c r="GR22" s="11"/>
      <c r="GS22" s="11"/>
      <c r="GT22" s="11"/>
      <c r="GU22" s="11"/>
      <c r="GV22" s="11"/>
      <c r="GW22" s="11"/>
      <c r="GX22" s="11"/>
      <c r="GY22" s="11"/>
      <c r="GZ22" s="11"/>
      <c r="HA22" s="11"/>
      <c r="HB22" s="11"/>
      <c r="HC22" s="11"/>
      <c r="HD22" s="11"/>
      <c r="HE22" s="11"/>
      <c r="HF22" s="11"/>
      <c r="HG22" s="11"/>
      <c r="HH22" s="11"/>
      <c r="HI22" s="11"/>
      <c r="HJ22" s="11"/>
      <c r="HK22" s="11"/>
      <c r="HL22" s="11"/>
      <c r="HM22" s="11"/>
      <c r="HN22" s="11"/>
      <c r="HO22" s="11"/>
      <c r="HP22" s="11"/>
      <c r="HQ22" s="11"/>
      <c r="HR22" s="11"/>
      <c r="HS22" s="11"/>
      <c r="HT22" s="11"/>
      <c r="HU22" s="11"/>
      <c r="HV22" s="11"/>
      <c r="HW22" s="11"/>
      <c r="HX22" s="11"/>
      <c r="HY22" s="11"/>
      <c r="HZ22" s="11"/>
      <c r="IA22" s="11"/>
      <c r="IB22" s="11"/>
      <c r="IC22" s="11"/>
      <c r="ID22" s="11"/>
      <c r="IE22" s="11"/>
      <c r="IF22" s="11"/>
      <c r="IG22" s="11"/>
      <c r="IH22" s="11"/>
      <c r="II22" s="11"/>
      <c r="IJ22" s="11"/>
      <c r="IK22" s="11"/>
      <c r="IL22" s="11"/>
      <c r="IM22" s="11"/>
      <c r="IN22" s="11"/>
      <c r="IO22" s="11"/>
      <c r="IP22" s="11"/>
      <c r="IQ22" s="11"/>
    </row>
    <row r="24" spans="1:251" s="73" customFormat="1">
      <c r="A24" s="67" t="s">
        <v>54</v>
      </c>
      <c r="B24" s="72"/>
      <c r="C24" s="72"/>
      <c r="D24" s="72"/>
      <c r="E24" s="72"/>
      <c r="F24" s="72"/>
      <c r="G24" s="72"/>
      <c r="H24" s="72"/>
      <c r="I24" s="72"/>
    </row>
    <row r="25" spans="1:251" s="73" customFormat="1">
      <c r="A25" s="72" t="s">
        <v>55</v>
      </c>
      <c r="B25" s="72"/>
      <c r="C25" s="74">
        <v>1024</v>
      </c>
      <c r="D25" s="72" t="s">
        <v>56</v>
      </c>
      <c r="E25" s="236" t="str">
        <f>IF(C25&gt;=1024,IF(C26&gt;=1024,"","DIN methode niet geschikt voor deze monitor"),"DIN methode niet geschikt voor deze monitor")</f>
        <v/>
      </c>
      <c r="F25" s="236"/>
      <c r="G25" s="236"/>
      <c r="H25" s="236"/>
      <c r="I25" s="236"/>
    </row>
    <row r="26" spans="1:251" s="73" customFormat="1">
      <c r="A26" s="72" t="s">
        <v>57</v>
      </c>
      <c r="B26" s="72"/>
      <c r="C26" s="74">
        <v>1024</v>
      </c>
      <c r="D26" s="72" t="s">
        <v>56</v>
      </c>
      <c r="E26" s="72"/>
      <c r="F26" s="72"/>
      <c r="G26" s="72"/>
      <c r="H26" s="72"/>
      <c r="I26" s="72"/>
    </row>
    <row r="27" spans="1:251" s="73" customFormat="1">
      <c r="A27" s="72" t="s">
        <v>58</v>
      </c>
      <c r="B27" s="72"/>
      <c r="C27" s="75">
        <f>(C25*C26)/1048581</f>
        <v>0.99999523165115523</v>
      </c>
      <c r="D27" s="72"/>
      <c r="E27" s="75"/>
      <c r="F27" s="72"/>
      <c r="G27" s="72"/>
      <c r="H27" s="72"/>
      <c r="I27" s="72"/>
    </row>
    <row r="28" spans="1:251" s="73" customFormat="1">
      <c r="A28" s="72"/>
      <c r="B28" s="75"/>
      <c r="C28" s="72"/>
      <c r="D28" s="72"/>
      <c r="E28" s="72"/>
      <c r="F28" s="72"/>
      <c r="G28" s="72"/>
      <c r="H28" s="72"/>
      <c r="I28" s="72"/>
    </row>
    <row r="29" spans="1:251" s="73" customFormat="1" ht="51">
      <c r="A29" s="76" t="s">
        <v>59</v>
      </c>
      <c r="B29" s="77" t="s">
        <v>60</v>
      </c>
      <c r="C29" s="237" t="s">
        <v>61</v>
      </c>
      <c r="D29" s="237"/>
      <c r="E29" s="77" t="s">
        <v>62</v>
      </c>
      <c r="F29" s="77" t="s">
        <v>63</v>
      </c>
      <c r="G29" s="72"/>
      <c r="H29" s="72"/>
      <c r="I29" s="72"/>
    </row>
    <row r="30" spans="1:251" s="73" customFormat="1" ht="24.95" customHeight="1">
      <c r="A30" s="78" t="s">
        <v>64</v>
      </c>
      <c r="B30" s="79"/>
      <c r="C30" s="235"/>
      <c r="D30" s="235"/>
      <c r="E30" s="80" t="str">
        <f>IF(ISBLANK(B30),"?",IF(B30&gt;1,"Fail","Pass"))</f>
        <v>?</v>
      </c>
      <c r="F30" s="80" t="str">
        <f>IF(ISBLANK(B30),"?",IF(B30&gt;(ROUND($C$27*1,0)),"Fail","Pass"))</f>
        <v>?</v>
      </c>
      <c r="G30" s="81"/>
      <c r="H30" s="81"/>
      <c r="I30" s="81"/>
    </row>
    <row r="31" spans="1:251" s="73" customFormat="1" ht="24.95" customHeight="1">
      <c r="A31" s="82" t="s">
        <v>65</v>
      </c>
      <c r="B31" s="79"/>
      <c r="C31" s="235"/>
      <c r="D31" s="235"/>
      <c r="E31" s="88" t="str">
        <f>IF(ISBLANK(B31),"?",IF(B31&gt;1,"Fail","Pass"))</f>
        <v>?</v>
      </c>
      <c r="F31" s="88" t="str">
        <f>IF(ISBLANK(B31),"?",IF(B31&gt;(ROUND($C$27*5,0)),"Fail","Pass"))</f>
        <v>?</v>
      </c>
      <c r="G31" s="83"/>
      <c r="H31" s="83"/>
      <c r="I31" s="83"/>
    </row>
    <row r="32" spans="1:251" s="73" customFormat="1" ht="24.95" customHeight="1">
      <c r="A32" s="78" t="s">
        <v>66</v>
      </c>
      <c r="B32" s="79"/>
      <c r="C32" s="235"/>
      <c r="D32" s="235"/>
      <c r="E32" s="80" t="str">
        <f>IF(ISBLANK(B32),"?",IF(B32&gt;2,"Fail","Pass"))</f>
        <v>?</v>
      </c>
      <c r="F32" s="80" t="str">
        <f>IF(ISBLANK(B32),"?",IF(B32&gt;(ROUND($C$27*5,0)),"Fail","Pass"))</f>
        <v>?</v>
      </c>
      <c r="G32" s="81"/>
      <c r="H32" s="81"/>
      <c r="I32" s="81"/>
    </row>
    <row r="33" spans="1:9" s="73" customFormat="1" ht="24.95" customHeight="1">
      <c r="A33" s="82" t="s">
        <v>67</v>
      </c>
      <c r="B33" s="79"/>
      <c r="C33" s="235"/>
      <c r="D33" s="235"/>
      <c r="E33" s="88" t="str">
        <f>IF(ISBLANK(B33),"?",IF(B33&gt;1,"Fail","Pass"))</f>
        <v>?</v>
      </c>
      <c r="F33" s="88" t="str">
        <f>IF(ISBLANK(B33),"?",IF(B33&gt;(ROUND($C$27*1,0)),"Fail","Pass"))</f>
        <v>?</v>
      </c>
      <c r="G33" s="83"/>
      <c r="H33" s="83"/>
      <c r="I33" s="83"/>
    </row>
    <row r="34" spans="1:9" s="73" customFormat="1">
      <c r="A34" s="84"/>
      <c r="B34" s="85"/>
      <c r="C34" s="85"/>
      <c r="D34" s="85"/>
      <c r="E34" s="85"/>
      <c r="F34" s="85"/>
      <c r="G34" s="85"/>
      <c r="H34" s="85"/>
      <c r="I34" s="85"/>
    </row>
    <row r="35" spans="1:9" s="73" customFormat="1">
      <c r="A35" s="86"/>
      <c r="B35" s="86"/>
      <c r="C35" s="86"/>
      <c r="D35" s="87" t="s">
        <v>40</v>
      </c>
      <c r="E35" s="77" t="str">
        <f>IF(E30="?","?",IF(E31="?","?",IF(E32="?","?",IF(E33="?","?",IF(E30="Pass",IF(E31="Pass",IF(E32="Pass",IF(E33="Pass","Pass","Fail"),"Fail"),"Fail"),"Fail")))))</f>
        <v>?</v>
      </c>
      <c r="F35" s="77" t="str">
        <f>IF(F30="?","?",IF(F31="?","?",IF(F32="?","?",IF(F33="?","?",IF(F30="Pass",IF(F31="Pass",IF(F32="Pass",IF(F33="Pass","Pass","Fail"),"Fail"),"Fail"),"Fail")))))</f>
        <v>?</v>
      </c>
      <c r="G35" s="72"/>
      <c r="H35" s="72"/>
      <c r="I35" s="86"/>
    </row>
    <row r="36" spans="1:9" s="73" customFormat="1">
      <c r="A36" s="72"/>
      <c r="B36" s="72"/>
      <c r="C36" s="72"/>
      <c r="D36" s="72"/>
      <c r="E36" s="72"/>
      <c r="F36" s="72"/>
      <c r="G36" s="72"/>
      <c r="H36" s="72"/>
      <c r="I36" s="72"/>
    </row>
    <row r="37" spans="1:9" s="73" customFormat="1"/>
  </sheetData>
  <mergeCells count="18">
    <mergeCell ref="C33:D33"/>
    <mergeCell ref="E25:I25"/>
    <mergeCell ref="C29:D29"/>
    <mergeCell ref="C30:D30"/>
    <mergeCell ref="C31:D31"/>
    <mergeCell ref="C32:D32"/>
    <mergeCell ref="D12:G12"/>
    <mergeCell ref="D16:E16"/>
    <mergeCell ref="C4:D4"/>
    <mergeCell ref="A6:B6"/>
    <mergeCell ref="H3:I4"/>
    <mergeCell ref="H5:I5"/>
    <mergeCell ref="A12:B12"/>
    <mergeCell ref="J5:K5"/>
    <mergeCell ref="H6:I6"/>
    <mergeCell ref="J6:K6"/>
    <mergeCell ref="D6:G6"/>
    <mergeCell ref="D10:E10"/>
  </mergeCells>
  <conditionalFormatting sqref="H30">
    <cfRule type="expression" dxfId="49" priority="15">
      <formula>IF(#REF!&gt;1,"Fail","Pass")</formula>
    </cfRule>
  </conditionalFormatting>
  <conditionalFormatting sqref="E30:F30 E32:F32">
    <cfRule type="cellIs" dxfId="48" priority="16" stopIfTrue="1" operator="equal">
      <formula>"Pass"</formula>
    </cfRule>
    <cfRule type="cellIs" dxfId="47" priority="17" stopIfTrue="1" operator="equal">
      <formula>"Fail"</formula>
    </cfRule>
  </conditionalFormatting>
  <conditionalFormatting sqref="E35:F35">
    <cfRule type="cellIs" dxfId="46" priority="20" stopIfTrue="1" operator="equal">
      <formula>"Fail"</formula>
    </cfRule>
    <cfRule type="cellIs" dxfId="45" priority="21" stopIfTrue="1" operator="equal">
      <formula>"Pass"</formula>
    </cfRule>
  </conditionalFormatting>
  <conditionalFormatting sqref="J6">
    <cfRule type="containsText" dxfId="44" priority="9" operator="containsText" text="Pass">
      <formula>NOT(ISERROR(SEARCH("Pass",J6)))</formula>
    </cfRule>
    <cfRule type="containsText" dxfId="43" priority="10" operator="containsText" text="Fail">
      <formula>NOT(ISERROR(SEARCH("Fail",J6)))</formula>
    </cfRule>
  </conditionalFormatting>
  <conditionalFormatting sqref="J5">
    <cfRule type="containsText" dxfId="42" priority="11" operator="containsText" text="Pass">
      <formula>NOT(ISERROR(SEARCH("Pass",J5)))</formula>
    </cfRule>
    <cfRule type="containsText" dxfId="41" priority="12" operator="containsText" text="Fail">
      <formula>NOT(ISERROR(SEARCH("Fail",J5)))</formula>
    </cfRule>
  </conditionalFormatting>
  <conditionalFormatting sqref="E31">
    <cfRule type="cellIs" dxfId="40" priority="7" stopIfTrue="1" operator="equal">
      <formula>"Pass"</formula>
    </cfRule>
    <cfRule type="cellIs" dxfId="39" priority="8" stopIfTrue="1" operator="equal">
      <formula>"Fail"</formula>
    </cfRule>
  </conditionalFormatting>
  <conditionalFormatting sqref="E33">
    <cfRule type="cellIs" dxfId="38" priority="5" stopIfTrue="1" operator="equal">
      <formula>"Pass"</formula>
    </cfRule>
    <cfRule type="cellIs" dxfId="37" priority="6" stopIfTrue="1" operator="equal">
      <formula>"Fail"</formula>
    </cfRule>
  </conditionalFormatting>
  <conditionalFormatting sqref="F31">
    <cfRule type="cellIs" dxfId="36" priority="3" stopIfTrue="1" operator="equal">
      <formula>"Pass"</formula>
    </cfRule>
    <cfRule type="cellIs" dxfId="35" priority="4" stopIfTrue="1" operator="equal">
      <formula>"Fail"</formula>
    </cfRule>
  </conditionalFormatting>
  <conditionalFormatting sqref="F33">
    <cfRule type="cellIs" dxfId="34" priority="1" stopIfTrue="1" operator="equal">
      <formula>"Pass"</formula>
    </cfRule>
    <cfRule type="cellIs" dxfId="33" priority="2" stopIfTrue="1" operator="equal">
      <formula>"Fail"</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Equation.3" shapeId="5122" r:id="rId3">
          <objectPr defaultSize="0" autoPict="0" r:id="rId4">
            <anchor moveWithCells="1">
              <from>
                <xdr:col>2</xdr:col>
                <xdr:colOff>0</xdr:colOff>
                <xdr:row>16</xdr:row>
                <xdr:rowOff>19050</xdr:rowOff>
              </from>
              <to>
                <xdr:col>9</xdr:col>
                <xdr:colOff>352425</xdr:colOff>
                <xdr:row>18</xdr:row>
                <xdr:rowOff>95250</xdr:rowOff>
              </to>
            </anchor>
          </objectPr>
        </oleObject>
      </mc:Choice>
      <mc:Fallback>
        <oleObject progId="Equation.3" shapeId="5122" r:id="rId3"/>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Q37"/>
  <sheetViews>
    <sheetView workbookViewId="0">
      <selection activeCell="F33" sqref="F33"/>
    </sheetView>
  </sheetViews>
  <sheetFormatPr defaultColWidth="10.85546875" defaultRowHeight="12.75"/>
  <cols>
    <col min="1" max="8" width="10.85546875" style="61"/>
    <col min="9" max="9" width="6.42578125" style="61" customWidth="1"/>
    <col min="10" max="10" width="10.85546875" style="61"/>
    <col min="11" max="11" width="3.140625" style="61" customWidth="1"/>
    <col min="12" max="16384" width="10.85546875" style="61"/>
  </cols>
  <sheetData>
    <row r="1" spans="1:249" s="4" customFormat="1" ht="29.1" customHeight="1">
      <c r="A1" s="2" t="s">
        <v>168</v>
      </c>
      <c r="B1" s="3"/>
      <c r="C1" s="3"/>
      <c r="D1" s="3"/>
      <c r="E1" s="3"/>
      <c r="F1" s="3"/>
      <c r="G1" s="3"/>
      <c r="H1" s="3"/>
      <c r="I1" s="3"/>
      <c r="J1" s="3"/>
      <c r="K1" s="3"/>
    </row>
    <row r="2" spans="1:249" s="4" customFormat="1" ht="13.5" thickBot="1">
      <c r="A2" s="5"/>
    </row>
    <row r="3" spans="1:249" s="4" customFormat="1" ht="15.95" customHeight="1">
      <c r="A3" s="6" t="s">
        <v>20</v>
      </c>
      <c r="B3" s="7"/>
      <c r="C3" s="7"/>
      <c r="D3" s="7"/>
      <c r="H3" s="215" t="s">
        <v>24</v>
      </c>
      <c r="I3" s="216"/>
      <c r="J3" s="8"/>
      <c r="K3" s="9"/>
    </row>
    <row r="4" spans="1:249" s="4" customFormat="1" ht="12.95" customHeight="1">
      <c r="A4" s="10" t="s">
        <v>21</v>
      </c>
      <c r="B4" s="11"/>
      <c r="C4" s="190"/>
      <c r="D4" s="190"/>
      <c r="E4" s="11"/>
      <c r="F4" s="11"/>
      <c r="H4" s="217"/>
      <c r="I4" s="218"/>
      <c r="J4" s="12"/>
      <c r="K4" s="13"/>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49" s="4" customFormat="1" ht="12.95" customHeight="1">
      <c r="A5" s="10"/>
      <c r="B5" s="11"/>
      <c r="C5" s="11"/>
      <c r="D5" s="11"/>
      <c r="E5" s="11"/>
      <c r="F5" s="11"/>
      <c r="H5" s="225" t="s">
        <v>62</v>
      </c>
      <c r="I5" s="226"/>
      <c r="J5" s="212" t="str">
        <f>IF(E30="?","?",IF(E31="?","?",IF(E32="?","?",IF(E33="?","?",E35))))</f>
        <v>?</v>
      </c>
      <c r="K5" s="213"/>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49" s="4" customFormat="1" ht="15.95" customHeight="1" thickBot="1">
      <c r="A6" s="209" t="s">
        <v>74</v>
      </c>
      <c r="B6" s="209"/>
      <c r="C6" s="178" t="s">
        <v>59</v>
      </c>
      <c r="D6" s="196" t="s">
        <v>68</v>
      </c>
      <c r="E6" s="196"/>
      <c r="F6" s="196"/>
      <c r="G6" s="196"/>
      <c r="H6" s="223" t="s">
        <v>63</v>
      </c>
      <c r="I6" s="224"/>
      <c r="J6" s="210" t="str">
        <f>IF(F30="?","?",IF(F31="?","?",IF(F32="?","?",IF(F33="?","?",F35))))</f>
        <v>?</v>
      </c>
      <c r="K6" s="211"/>
    </row>
    <row r="7" spans="1:249" ht="28.5">
      <c r="C7" s="177" t="s">
        <v>64</v>
      </c>
      <c r="D7" s="177" t="s">
        <v>69</v>
      </c>
      <c r="E7" s="70"/>
      <c r="F7" s="71"/>
      <c r="G7" s="71"/>
    </row>
    <row r="8" spans="1:249" ht="26.1" customHeight="1">
      <c r="C8" s="176" t="s">
        <v>65</v>
      </c>
      <c r="D8" s="176" t="s">
        <v>69</v>
      </c>
      <c r="E8" s="71"/>
      <c r="F8" s="71"/>
      <c r="G8" s="71"/>
    </row>
    <row r="9" spans="1:249" ht="28.5">
      <c r="C9" s="177" t="s">
        <v>66</v>
      </c>
      <c r="D9" s="177" t="s">
        <v>70</v>
      </c>
      <c r="E9" s="70"/>
      <c r="F9" s="71"/>
      <c r="G9" s="71"/>
    </row>
    <row r="10" spans="1:249" ht="28.5">
      <c r="C10" s="176" t="s">
        <v>67</v>
      </c>
      <c r="D10" s="194" t="s">
        <v>71</v>
      </c>
      <c r="E10" s="194"/>
      <c r="F10" s="71"/>
      <c r="G10" s="71"/>
    </row>
    <row r="12" spans="1:249" ht="30">
      <c r="A12" s="209" t="s">
        <v>75</v>
      </c>
      <c r="B12" s="209"/>
      <c r="C12" s="178" t="s">
        <v>59</v>
      </c>
      <c r="D12" s="196" t="s">
        <v>68</v>
      </c>
      <c r="E12" s="196"/>
      <c r="F12" s="196"/>
      <c r="G12" s="196"/>
    </row>
    <row r="13" spans="1:249" ht="28.5">
      <c r="C13" s="177" t="s">
        <v>64</v>
      </c>
      <c r="D13" s="177" t="s">
        <v>72</v>
      </c>
      <c r="E13" s="70"/>
      <c r="F13" s="71"/>
      <c r="G13" s="71"/>
    </row>
    <row r="14" spans="1:249" ht="26.1" customHeight="1">
      <c r="C14" s="176" t="s">
        <v>65</v>
      </c>
      <c r="D14" s="176" t="s">
        <v>73</v>
      </c>
      <c r="E14" s="71"/>
      <c r="F14" s="71"/>
      <c r="G14" s="71"/>
    </row>
    <row r="15" spans="1:249" ht="28.5">
      <c r="C15" s="177" t="s">
        <v>66</v>
      </c>
      <c r="D15" s="177" t="s">
        <v>73</v>
      </c>
      <c r="E15" s="70"/>
      <c r="F15" s="71"/>
      <c r="G15" s="71"/>
    </row>
    <row r="16" spans="1:249" ht="28.5">
      <c r="C16" s="176" t="s">
        <v>67</v>
      </c>
      <c r="D16" s="194" t="s">
        <v>72</v>
      </c>
      <c r="E16" s="194"/>
      <c r="F16" s="71"/>
      <c r="G16" s="71"/>
    </row>
    <row r="22" spans="1:251" s="4" customFormat="1" ht="18" customHeight="1">
      <c r="A22" s="19" t="s">
        <v>41</v>
      </c>
      <c r="B22" s="20"/>
      <c r="C22" s="20"/>
      <c r="D22" s="20"/>
      <c r="E22" s="20"/>
      <c r="F22" s="20"/>
      <c r="G22" s="20"/>
      <c r="H22" s="21"/>
      <c r="I22" s="21"/>
      <c r="J22" s="21"/>
      <c r="K22" s="2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c r="FQ22" s="11"/>
      <c r="FR22" s="11"/>
      <c r="FS22" s="11"/>
      <c r="FT22" s="11"/>
      <c r="FU22" s="11"/>
      <c r="FV22" s="11"/>
      <c r="FW22" s="11"/>
      <c r="FX22" s="11"/>
      <c r="FY22" s="11"/>
      <c r="FZ22" s="11"/>
      <c r="GA22" s="11"/>
      <c r="GB22" s="11"/>
      <c r="GC22" s="11"/>
      <c r="GD22" s="11"/>
      <c r="GE22" s="11"/>
      <c r="GF22" s="11"/>
      <c r="GG22" s="11"/>
      <c r="GH22" s="11"/>
      <c r="GI22" s="11"/>
      <c r="GJ22" s="11"/>
      <c r="GK22" s="11"/>
      <c r="GL22" s="11"/>
      <c r="GM22" s="11"/>
      <c r="GN22" s="11"/>
      <c r="GO22" s="11"/>
      <c r="GP22" s="11"/>
      <c r="GQ22" s="11"/>
      <c r="GR22" s="11"/>
      <c r="GS22" s="11"/>
      <c r="GT22" s="11"/>
      <c r="GU22" s="11"/>
      <c r="GV22" s="11"/>
      <c r="GW22" s="11"/>
      <c r="GX22" s="11"/>
      <c r="GY22" s="11"/>
      <c r="GZ22" s="11"/>
      <c r="HA22" s="11"/>
      <c r="HB22" s="11"/>
      <c r="HC22" s="11"/>
      <c r="HD22" s="11"/>
      <c r="HE22" s="11"/>
      <c r="HF22" s="11"/>
      <c r="HG22" s="11"/>
      <c r="HH22" s="11"/>
      <c r="HI22" s="11"/>
      <c r="HJ22" s="11"/>
      <c r="HK22" s="11"/>
      <c r="HL22" s="11"/>
      <c r="HM22" s="11"/>
      <c r="HN22" s="11"/>
      <c r="HO22" s="11"/>
      <c r="HP22" s="11"/>
      <c r="HQ22" s="11"/>
      <c r="HR22" s="11"/>
      <c r="HS22" s="11"/>
      <c r="HT22" s="11"/>
      <c r="HU22" s="11"/>
      <c r="HV22" s="11"/>
      <c r="HW22" s="11"/>
      <c r="HX22" s="11"/>
      <c r="HY22" s="11"/>
      <c r="HZ22" s="11"/>
      <c r="IA22" s="11"/>
      <c r="IB22" s="11"/>
      <c r="IC22" s="11"/>
      <c r="ID22" s="11"/>
      <c r="IE22" s="11"/>
      <c r="IF22" s="11"/>
      <c r="IG22" s="11"/>
      <c r="IH22" s="11"/>
      <c r="II22" s="11"/>
      <c r="IJ22" s="11"/>
      <c r="IK22" s="11"/>
      <c r="IL22" s="11"/>
      <c r="IM22" s="11"/>
      <c r="IN22" s="11"/>
      <c r="IO22" s="11"/>
      <c r="IP22" s="11"/>
      <c r="IQ22" s="11"/>
    </row>
    <row r="24" spans="1:251" s="73" customFormat="1">
      <c r="A24" s="67" t="s">
        <v>54</v>
      </c>
      <c r="B24" s="72"/>
      <c r="C24" s="72"/>
      <c r="D24" s="72"/>
      <c r="E24" s="72"/>
      <c r="F24" s="72"/>
      <c r="G24" s="72"/>
      <c r="H24" s="72"/>
      <c r="I24" s="72"/>
    </row>
    <row r="25" spans="1:251" s="73" customFormat="1">
      <c r="A25" s="72" t="s">
        <v>55</v>
      </c>
      <c r="B25" s="72"/>
      <c r="C25" s="74">
        <v>1024</v>
      </c>
      <c r="D25" s="72" t="s">
        <v>56</v>
      </c>
      <c r="E25" s="236" t="str">
        <f>IF(C25&gt;=1024,IF(C26&gt;=1024,"","DIN methode niet geschikt voor deze monitor"),"DIN methode niet geschikt voor deze monitor")</f>
        <v/>
      </c>
      <c r="F25" s="236"/>
      <c r="G25" s="236"/>
      <c r="H25" s="236"/>
      <c r="I25" s="236"/>
    </row>
    <row r="26" spans="1:251" s="73" customFormat="1">
      <c r="A26" s="72" t="s">
        <v>57</v>
      </c>
      <c r="B26" s="72"/>
      <c r="C26" s="74">
        <v>1024</v>
      </c>
      <c r="D26" s="72" t="s">
        <v>56</v>
      </c>
      <c r="E26" s="72"/>
      <c r="F26" s="72"/>
      <c r="G26" s="72"/>
      <c r="H26" s="72"/>
      <c r="I26" s="72"/>
    </row>
    <row r="27" spans="1:251" s="73" customFormat="1">
      <c r="A27" s="72" t="s">
        <v>58</v>
      </c>
      <c r="B27" s="72"/>
      <c r="C27" s="75">
        <f>(C25*C26)/1048581</f>
        <v>0.99999523165115523</v>
      </c>
      <c r="D27" s="72"/>
      <c r="E27" s="75"/>
      <c r="F27" s="72"/>
      <c r="G27" s="72"/>
      <c r="H27" s="72"/>
      <c r="I27" s="72"/>
    </row>
    <row r="28" spans="1:251" s="73" customFormat="1">
      <c r="A28" s="72"/>
      <c r="B28" s="75"/>
      <c r="C28" s="72"/>
      <c r="D28" s="72"/>
      <c r="E28" s="72"/>
      <c r="F28" s="72"/>
      <c r="G28" s="72"/>
      <c r="H28" s="72"/>
      <c r="I28" s="72"/>
    </row>
    <row r="29" spans="1:251" s="73" customFormat="1" ht="51">
      <c r="A29" s="76" t="s">
        <v>59</v>
      </c>
      <c r="B29" s="182" t="s">
        <v>60</v>
      </c>
      <c r="C29" s="237" t="s">
        <v>61</v>
      </c>
      <c r="D29" s="237"/>
      <c r="E29" s="182" t="s">
        <v>62</v>
      </c>
      <c r="F29" s="182" t="s">
        <v>63</v>
      </c>
      <c r="G29" s="72"/>
      <c r="H29" s="72"/>
      <c r="I29" s="72"/>
    </row>
    <row r="30" spans="1:251" s="73" customFormat="1" ht="24.95" customHeight="1">
      <c r="A30" s="78" t="s">
        <v>64</v>
      </c>
      <c r="B30" s="79"/>
      <c r="C30" s="235"/>
      <c r="D30" s="235"/>
      <c r="E30" s="80" t="str">
        <f>IF(ISBLANK(B30),"?",IF(B30&gt;1,"Fail","Pass"))</f>
        <v>?</v>
      </c>
      <c r="F30" s="80" t="str">
        <f>IF(ISBLANK(B30),"?",IF(B30&gt;(ROUND($C$27*1,0)),"Fail","Pass"))</f>
        <v>?</v>
      </c>
      <c r="G30" s="81"/>
      <c r="H30" s="81"/>
      <c r="I30" s="81"/>
    </row>
    <row r="31" spans="1:251" s="73" customFormat="1" ht="24.95" customHeight="1">
      <c r="A31" s="82" t="s">
        <v>65</v>
      </c>
      <c r="B31" s="79"/>
      <c r="C31" s="235"/>
      <c r="D31" s="235"/>
      <c r="E31" s="88" t="str">
        <f>IF(ISBLANK(B31),"?",IF(B31&gt;1,"Fail","Pass"))</f>
        <v>?</v>
      </c>
      <c r="F31" s="88" t="str">
        <f>IF(ISBLANK(B31),"?",IF(B31&gt;(ROUND($C$27*5,0)),"Fail","Pass"))</f>
        <v>?</v>
      </c>
      <c r="G31" s="83"/>
      <c r="H31" s="83"/>
      <c r="I31" s="83"/>
    </row>
    <row r="32" spans="1:251" s="73" customFormat="1" ht="24.95" customHeight="1">
      <c r="A32" s="78" t="s">
        <v>66</v>
      </c>
      <c r="B32" s="79"/>
      <c r="C32" s="235"/>
      <c r="D32" s="235"/>
      <c r="E32" s="80" t="str">
        <f>IF(ISBLANK(B32),"?",IF(B32&gt;2,"Fail","Pass"))</f>
        <v>?</v>
      </c>
      <c r="F32" s="80" t="str">
        <f>IF(ISBLANK(B32),"?",IF(B32&gt;(ROUND($C$27*5,0)),"Fail","Pass"))</f>
        <v>?</v>
      </c>
      <c r="G32" s="81"/>
      <c r="H32" s="81"/>
      <c r="I32" s="81"/>
    </row>
    <row r="33" spans="1:9" s="73" customFormat="1" ht="24.95" customHeight="1">
      <c r="A33" s="82" t="s">
        <v>67</v>
      </c>
      <c r="B33" s="79"/>
      <c r="C33" s="235"/>
      <c r="D33" s="235"/>
      <c r="E33" s="88" t="str">
        <f>IF(ISBLANK(B33),"?",IF(B33&gt;1,"Fail","Pass"))</f>
        <v>?</v>
      </c>
      <c r="F33" s="88" t="str">
        <f>IF(ISBLANK(B33),"?",IF(B33&gt;(ROUND($C$27*1,0)),"Fail","Pass"))</f>
        <v>?</v>
      </c>
      <c r="G33" s="83"/>
      <c r="H33" s="83"/>
      <c r="I33" s="83"/>
    </row>
    <row r="34" spans="1:9" s="73" customFormat="1">
      <c r="A34" s="84"/>
      <c r="B34" s="85"/>
      <c r="C34" s="85"/>
      <c r="D34" s="85"/>
      <c r="E34" s="85"/>
      <c r="F34" s="85"/>
      <c r="G34" s="85"/>
      <c r="H34" s="85"/>
      <c r="I34" s="85"/>
    </row>
    <row r="35" spans="1:9" s="73" customFormat="1">
      <c r="A35" s="86"/>
      <c r="B35" s="86"/>
      <c r="C35" s="86"/>
      <c r="D35" s="87" t="s">
        <v>40</v>
      </c>
      <c r="E35" s="182" t="str">
        <f>IF(E30="?","?",IF(E31="?","?",IF(E32="?","?",IF(E33="?","?",IF(E30="Pass",IF(E31="Pass",IF(E32="Pass",IF(E33="Pass","Pass","Fail"),"Fail"),"Fail"),"Fail")))))</f>
        <v>?</v>
      </c>
      <c r="F35" s="182" t="str">
        <f>IF(F30="?","?",IF(F31="?","?",IF(F32="?","?",IF(F33="?","?",IF(F30="Pass",IF(F31="Pass",IF(F32="Pass",IF(F33="Pass","Pass","Fail"),"Fail"),"Fail"),"Fail")))))</f>
        <v>?</v>
      </c>
      <c r="G35" s="72"/>
      <c r="H35" s="72"/>
      <c r="I35" s="86"/>
    </row>
    <row r="36" spans="1:9" s="73" customFormat="1">
      <c r="A36" s="72"/>
      <c r="B36" s="72"/>
      <c r="C36" s="72"/>
      <c r="D36" s="72"/>
      <c r="E36" s="72"/>
      <c r="F36" s="72"/>
      <c r="G36" s="72"/>
      <c r="H36" s="72"/>
      <c r="I36" s="72"/>
    </row>
    <row r="37" spans="1:9" s="73" customFormat="1"/>
  </sheetData>
  <mergeCells count="18">
    <mergeCell ref="C30:D30"/>
    <mergeCell ref="C31:D31"/>
    <mergeCell ref="C32:D32"/>
    <mergeCell ref="C33:D33"/>
    <mergeCell ref="D10:E10"/>
    <mergeCell ref="A12:B12"/>
    <mergeCell ref="D12:G12"/>
    <mergeCell ref="D16:E16"/>
    <mergeCell ref="E25:I25"/>
    <mergeCell ref="C29:D29"/>
    <mergeCell ref="H3:I4"/>
    <mergeCell ref="C4:D4"/>
    <mergeCell ref="H5:I5"/>
    <mergeCell ref="J5:K5"/>
    <mergeCell ref="A6:B6"/>
    <mergeCell ref="D6:G6"/>
    <mergeCell ref="H6:I6"/>
    <mergeCell ref="J6:K6"/>
  </mergeCells>
  <conditionalFormatting sqref="H30">
    <cfRule type="expression" dxfId="32" priority="13">
      <formula>IF(#REF!&gt;1,"Fail","Pass")</formula>
    </cfRule>
  </conditionalFormatting>
  <conditionalFormatting sqref="E30:F30 E32:F32">
    <cfRule type="cellIs" dxfId="31" priority="14" stopIfTrue="1" operator="equal">
      <formula>"Pass"</formula>
    </cfRule>
    <cfRule type="cellIs" dxfId="30" priority="15" stopIfTrue="1" operator="equal">
      <formula>"Fail"</formula>
    </cfRule>
  </conditionalFormatting>
  <conditionalFormatting sqref="E35:F35">
    <cfRule type="cellIs" dxfId="29" priority="16" stopIfTrue="1" operator="equal">
      <formula>"Fail"</formula>
    </cfRule>
    <cfRule type="cellIs" dxfId="28" priority="17" stopIfTrue="1" operator="equal">
      <formula>"Pass"</formula>
    </cfRule>
  </conditionalFormatting>
  <conditionalFormatting sqref="J6">
    <cfRule type="containsText" dxfId="27" priority="9" operator="containsText" text="Pass">
      <formula>NOT(ISERROR(SEARCH("Pass",J6)))</formula>
    </cfRule>
    <cfRule type="containsText" dxfId="26" priority="10" operator="containsText" text="Fail">
      <formula>NOT(ISERROR(SEARCH("Fail",J6)))</formula>
    </cfRule>
  </conditionalFormatting>
  <conditionalFormatting sqref="J5">
    <cfRule type="containsText" dxfId="25" priority="11" operator="containsText" text="Pass">
      <formula>NOT(ISERROR(SEARCH("Pass",J5)))</formula>
    </cfRule>
    <cfRule type="containsText" dxfId="24" priority="12" operator="containsText" text="Fail">
      <formula>NOT(ISERROR(SEARCH("Fail",J5)))</formula>
    </cfRule>
  </conditionalFormatting>
  <conditionalFormatting sqref="E31">
    <cfRule type="cellIs" dxfId="23" priority="7" stopIfTrue="1" operator="equal">
      <formula>"Pass"</formula>
    </cfRule>
    <cfRule type="cellIs" dxfId="22" priority="8" stopIfTrue="1" operator="equal">
      <formula>"Fail"</formula>
    </cfRule>
  </conditionalFormatting>
  <conditionalFormatting sqref="E33">
    <cfRule type="cellIs" dxfId="21" priority="5" stopIfTrue="1" operator="equal">
      <formula>"Pass"</formula>
    </cfRule>
    <cfRule type="cellIs" dxfId="20" priority="6" stopIfTrue="1" operator="equal">
      <formula>"Fail"</formula>
    </cfRule>
  </conditionalFormatting>
  <conditionalFormatting sqref="F31">
    <cfRule type="cellIs" dxfId="19" priority="3" stopIfTrue="1" operator="equal">
      <formula>"Pass"</formula>
    </cfRule>
    <cfRule type="cellIs" dxfId="18" priority="4" stopIfTrue="1" operator="equal">
      <formula>"Fail"</formula>
    </cfRule>
  </conditionalFormatting>
  <conditionalFormatting sqref="F33">
    <cfRule type="cellIs" dxfId="17" priority="1" stopIfTrue="1" operator="equal">
      <formula>"Pass"</formula>
    </cfRule>
    <cfRule type="cellIs" dxfId="16" priority="2" stopIfTrue="1" operator="equal">
      <formula>"Fail"</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Equation.3" shapeId="14337" r:id="rId3">
          <objectPr defaultSize="0" autoPict="0" r:id="rId4">
            <anchor moveWithCells="1">
              <from>
                <xdr:col>2</xdr:col>
                <xdr:colOff>0</xdr:colOff>
                <xdr:row>16</xdr:row>
                <xdr:rowOff>19050</xdr:rowOff>
              </from>
              <to>
                <xdr:col>9</xdr:col>
                <xdr:colOff>352425</xdr:colOff>
                <xdr:row>18</xdr:row>
                <xdr:rowOff>95250</xdr:rowOff>
              </to>
            </anchor>
          </objectPr>
        </oleObject>
      </mc:Choice>
      <mc:Fallback>
        <oleObject progId="Equation.3" shapeId="14337" r:id="rId3"/>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4"/>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170</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IF(H14="&lt;&lt; kies &gt;&gt;","?",IF(H15="&lt;&lt; kies &gt;&gt;","?",IF(H16="&lt;&lt; kies &gt;&gt;","?",IF(H20="&lt;&lt; kies &gt;&gt;","?",IF(H21="&lt;&lt; kies &gt;&gt;","?",IF(H22="&lt;&lt; kies &gt;&gt;","?",H24))))))</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44</v>
      </c>
      <c r="I6" s="207"/>
      <c r="J6" s="208"/>
    </row>
    <row r="7" spans="1:251">
      <c r="C7" s="15" t="s">
        <v>43</v>
      </c>
    </row>
    <row r="10" spans="1:251" s="4" customFormat="1" ht="18" customHeight="1">
      <c r="A10" s="19" t="s">
        <v>41</v>
      </c>
      <c r="B10" s="20"/>
      <c r="C10" s="20"/>
      <c r="D10" s="20"/>
      <c r="E10" s="20"/>
      <c r="F10" s="20"/>
      <c r="G10" s="20"/>
      <c r="H10" s="21"/>
      <c r="I10" s="21"/>
      <c r="J10" s="21"/>
      <c r="K10" s="2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row>
    <row r="12" spans="1:251" ht="15">
      <c r="A12" s="196" t="s">
        <v>29</v>
      </c>
      <c r="B12" s="196"/>
      <c r="C12" s="196"/>
      <c r="D12" s="196"/>
      <c r="E12" s="196"/>
      <c r="F12" s="196"/>
      <c r="G12" s="196"/>
      <c r="H12" s="196"/>
      <c r="I12" s="196"/>
      <c r="J12" s="196"/>
      <c r="K12" s="196"/>
    </row>
    <row r="13" spans="1:251" ht="14.25">
      <c r="A13" s="53" t="s">
        <v>30</v>
      </c>
      <c r="B13" s="53"/>
      <c r="C13" s="53"/>
      <c r="D13" s="54"/>
      <c r="E13" s="54"/>
      <c r="F13" s="54"/>
      <c r="G13" s="54"/>
      <c r="H13" s="55" t="s">
        <v>24</v>
      </c>
      <c r="I13" s="200" t="s">
        <v>31</v>
      </c>
      <c r="J13" s="200"/>
      <c r="K13" s="200"/>
    </row>
    <row r="14" spans="1:251" ht="28.5">
      <c r="A14" s="193" t="s">
        <v>32</v>
      </c>
      <c r="B14" s="193"/>
      <c r="C14" s="193"/>
      <c r="D14" s="193"/>
      <c r="E14" s="193"/>
      <c r="F14" s="193"/>
      <c r="G14" s="193"/>
      <c r="H14" s="62" t="s">
        <v>33</v>
      </c>
      <c r="I14" s="56"/>
      <c r="J14" s="56"/>
      <c r="K14" s="56"/>
    </row>
    <row r="15" spans="1:251" ht="28.5">
      <c r="A15" s="194" t="s">
        <v>34</v>
      </c>
      <c r="B15" s="194"/>
      <c r="C15" s="194"/>
      <c r="D15" s="194"/>
      <c r="E15" s="194"/>
      <c r="F15" s="194"/>
      <c r="G15" s="194"/>
      <c r="H15" s="62" t="s">
        <v>33</v>
      </c>
      <c r="I15" s="57"/>
      <c r="J15" s="57"/>
      <c r="K15" s="57"/>
    </row>
    <row r="16" spans="1:251" ht="28.5">
      <c r="A16" s="193" t="s">
        <v>35</v>
      </c>
      <c r="B16" s="193"/>
      <c r="C16" s="193"/>
      <c r="D16" s="193"/>
      <c r="E16" s="193"/>
      <c r="F16" s="193"/>
      <c r="G16" s="193"/>
      <c r="H16" s="62" t="s">
        <v>33</v>
      </c>
      <c r="I16" s="56"/>
      <c r="J16" s="56"/>
      <c r="K16" s="56"/>
    </row>
    <row r="17" spans="1:11" ht="14.25">
      <c r="A17" s="58"/>
      <c r="B17" s="58"/>
      <c r="C17" s="58"/>
      <c r="D17" s="58"/>
      <c r="E17" s="58"/>
      <c r="F17" s="58"/>
      <c r="G17" s="58"/>
      <c r="H17" s="59"/>
      <c r="I17" s="58"/>
      <c r="J17" s="58"/>
      <c r="K17" s="58"/>
    </row>
    <row r="18" spans="1:11" ht="15">
      <c r="A18" s="196" t="s">
        <v>36</v>
      </c>
      <c r="B18" s="196"/>
      <c r="C18" s="196"/>
      <c r="D18" s="196"/>
      <c r="E18" s="196"/>
      <c r="F18" s="196"/>
      <c r="G18" s="196"/>
      <c r="H18" s="196"/>
      <c r="I18" s="196"/>
      <c r="J18" s="196"/>
      <c r="K18" s="196"/>
    </row>
    <row r="19" spans="1:11" ht="14.25">
      <c r="A19" s="53" t="s">
        <v>30</v>
      </c>
      <c r="B19" s="53"/>
      <c r="C19" s="53"/>
      <c r="D19" s="54"/>
      <c r="E19" s="54"/>
      <c r="F19" s="54"/>
      <c r="G19" s="54"/>
      <c r="H19" s="55" t="s">
        <v>24</v>
      </c>
      <c r="I19" s="200" t="s">
        <v>31</v>
      </c>
      <c r="J19" s="200"/>
      <c r="K19" s="200"/>
    </row>
    <row r="20" spans="1:11" ht="28.5">
      <c r="A20" s="193" t="s">
        <v>37</v>
      </c>
      <c r="B20" s="193"/>
      <c r="C20" s="193"/>
      <c r="D20" s="193"/>
      <c r="E20" s="193"/>
      <c r="F20" s="193"/>
      <c r="G20" s="193"/>
      <c r="H20" s="62" t="s">
        <v>33</v>
      </c>
      <c r="I20" s="56"/>
      <c r="J20" s="56"/>
      <c r="K20" s="56"/>
    </row>
    <row r="21" spans="1:11" ht="28.5">
      <c r="A21" s="194" t="s">
        <v>38</v>
      </c>
      <c r="B21" s="194"/>
      <c r="C21" s="194"/>
      <c r="D21" s="194"/>
      <c r="E21" s="194"/>
      <c r="F21" s="194"/>
      <c r="G21" s="194"/>
      <c r="H21" s="62" t="s">
        <v>33</v>
      </c>
      <c r="I21" s="57"/>
      <c r="J21" s="57"/>
      <c r="K21" s="57"/>
    </row>
    <row r="22" spans="1:11" ht="28.5">
      <c r="A22" s="193" t="s">
        <v>39</v>
      </c>
      <c r="B22" s="193"/>
      <c r="C22" s="193"/>
      <c r="D22" s="193"/>
      <c r="E22" s="193"/>
      <c r="F22" s="193"/>
      <c r="G22" s="193"/>
      <c r="H22" s="62" t="s">
        <v>33</v>
      </c>
      <c r="I22" s="56"/>
      <c r="J22" s="56"/>
      <c r="K22" s="56"/>
    </row>
    <row r="23" spans="1:11" ht="14.25">
      <c r="A23" s="60"/>
      <c r="B23" s="60"/>
      <c r="C23" s="60"/>
      <c r="D23" s="60"/>
      <c r="E23" s="60"/>
      <c r="F23" s="60"/>
      <c r="G23" s="60"/>
      <c r="H23" s="60"/>
      <c r="I23" s="60"/>
      <c r="J23" s="60"/>
      <c r="K23" s="60"/>
    </row>
    <row r="24" spans="1:11" ht="15" customHeight="1">
      <c r="A24" s="53"/>
      <c r="B24" s="53"/>
      <c r="C24" s="53"/>
      <c r="D24" s="53"/>
      <c r="E24" s="53"/>
      <c r="F24" s="195" t="s">
        <v>40</v>
      </c>
      <c r="G24" s="195"/>
      <c r="H24" s="238" t="str">
        <f>IF(H14="&lt;&lt; kies &gt;&gt;","?",IF(H15="&lt;&lt; kies &gt;&gt;","?",IF(H16="&lt;&lt; kies &gt;&gt;","?",IF(H20="&lt;&lt; kies &gt;&gt;","?",IF(H21="&lt;&lt; kies &gt;&gt;","?",IF(H22="&lt;&lt; kies &gt;&gt;","?",IF(C4="Diagnostisch primair",IF(H14="Ja",IF(H15="Ja",IF(H16="Ja",IF(H20="Ja",IF(H21="Ja",IF(H22="Ja","Pass","Fail"),"Fail"),"Fail"),"Fail"),"Fail"),"Fail"),"Geen grenswaarde")))))))</f>
        <v>?</v>
      </c>
      <c r="I24" s="238"/>
      <c r="J24" s="238"/>
      <c r="K24" s="238"/>
    </row>
  </sheetData>
  <mergeCells count="16">
    <mergeCell ref="I3:J4"/>
    <mergeCell ref="C4:D4"/>
    <mergeCell ref="A6:B6"/>
    <mergeCell ref="A16:G16"/>
    <mergeCell ref="F24:G24"/>
    <mergeCell ref="H24:K24"/>
    <mergeCell ref="I5:J6"/>
    <mergeCell ref="A12:K12"/>
    <mergeCell ref="I13:K13"/>
    <mergeCell ref="A14:G14"/>
    <mergeCell ref="A15:G15"/>
    <mergeCell ref="A18:K18"/>
    <mergeCell ref="I19:K19"/>
    <mergeCell ref="A20:G20"/>
    <mergeCell ref="A21:G21"/>
    <mergeCell ref="A22:G22"/>
  </mergeCells>
  <conditionalFormatting sqref="I5:J6">
    <cfRule type="containsText" dxfId="15" priority="7" operator="containsText" text="Pass">
      <formula>NOT(ISERROR(SEARCH("Pass",I5)))</formula>
    </cfRule>
    <cfRule type="containsText" dxfId="14" priority="8" operator="containsText" text="Fail">
      <formula>NOT(ISERROR(SEARCH("Fail",I5)))</formula>
    </cfRule>
  </conditionalFormatting>
  <conditionalFormatting sqref="H14 H16 H20 H22">
    <cfRule type="cellIs" dxfId="13" priority="1" stopIfTrue="1" operator="equal">
      <formula>"Nee"</formula>
    </cfRule>
    <cfRule type="cellIs" dxfId="12" priority="2" stopIfTrue="1" operator="equal">
      <formula>"Ja"</formula>
    </cfRule>
  </conditionalFormatting>
  <conditionalFormatting sqref="H15 H21">
    <cfRule type="cellIs" dxfId="11" priority="3" stopIfTrue="1" operator="equal">
      <formula>"Nee"</formula>
    </cfRule>
    <cfRule type="cellIs" dxfId="10" priority="4" stopIfTrue="1" operator="equal">
      <formula>"Ja"</formula>
    </cfRule>
  </conditionalFormatting>
  <conditionalFormatting sqref="H24">
    <cfRule type="cellIs" dxfId="9" priority="5" stopIfTrue="1" operator="equal">
      <formula>"Fail"</formula>
    </cfRule>
    <cfRule type="cellIs" dxfId="8" priority="6" stopIfTrue="1" operator="equal">
      <formula>"Pass"</formula>
    </cfRule>
  </conditionalFormatting>
  <dataValidations count="2">
    <dataValidation type="list" allowBlank="1" showInputMessage="1" showErrorMessage="1" sqref="H14:H17 H20:H22">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4"/>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169</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IF(H14="&lt;&lt; kies &gt;&gt;","?",IF(H15="&lt;&lt; kies &gt;&gt;","?",IF(H16="&lt;&lt; kies &gt;&gt;","?",IF(H20="&lt;&lt; kies &gt;&gt;","?",IF(H21="&lt;&lt; kies &gt;&gt;","?",IF(H22="&lt;&lt; kies &gt;&gt;","?",H24))))))</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44</v>
      </c>
      <c r="I6" s="207"/>
      <c r="J6" s="208"/>
    </row>
    <row r="7" spans="1:251">
      <c r="C7" s="15" t="s">
        <v>43</v>
      </c>
    </row>
    <row r="10" spans="1:251" s="4" customFormat="1" ht="18" customHeight="1">
      <c r="A10" s="19" t="s">
        <v>41</v>
      </c>
      <c r="B10" s="20"/>
      <c r="C10" s="20"/>
      <c r="D10" s="20"/>
      <c r="E10" s="20"/>
      <c r="F10" s="20"/>
      <c r="G10" s="20"/>
      <c r="H10" s="21"/>
      <c r="I10" s="21"/>
      <c r="J10" s="21"/>
      <c r="K10" s="2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row>
    <row r="12" spans="1:251" ht="15">
      <c r="A12" s="196" t="s">
        <v>29</v>
      </c>
      <c r="B12" s="196"/>
      <c r="C12" s="196"/>
      <c r="D12" s="196"/>
      <c r="E12" s="196"/>
      <c r="F12" s="196"/>
      <c r="G12" s="196"/>
      <c r="H12" s="196"/>
      <c r="I12" s="196"/>
      <c r="J12" s="196"/>
      <c r="K12" s="196"/>
    </row>
    <row r="13" spans="1:251" ht="14.25">
      <c r="A13" s="179" t="s">
        <v>30</v>
      </c>
      <c r="B13" s="179"/>
      <c r="C13" s="179"/>
      <c r="D13" s="54"/>
      <c r="E13" s="54"/>
      <c r="F13" s="54"/>
      <c r="G13" s="54"/>
      <c r="H13" s="55" t="s">
        <v>24</v>
      </c>
      <c r="I13" s="200" t="s">
        <v>31</v>
      </c>
      <c r="J13" s="200"/>
      <c r="K13" s="200"/>
    </row>
    <row r="14" spans="1:251" ht="28.5">
      <c r="A14" s="193" t="s">
        <v>32</v>
      </c>
      <c r="B14" s="193"/>
      <c r="C14" s="193"/>
      <c r="D14" s="193"/>
      <c r="E14" s="193"/>
      <c r="F14" s="193"/>
      <c r="G14" s="193"/>
      <c r="H14" s="62" t="s">
        <v>33</v>
      </c>
      <c r="I14" s="56"/>
      <c r="J14" s="56"/>
      <c r="K14" s="56"/>
    </row>
    <row r="15" spans="1:251" ht="28.5">
      <c r="A15" s="194" t="s">
        <v>34</v>
      </c>
      <c r="B15" s="194"/>
      <c r="C15" s="194"/>
      <c r="D15" s="194"/>
      <c r="E15" s="194"/>
      <c r="F15" s="194"/>
      <c r="G15" s="194"/>
      <c r="H15" s="62" t="s">
        <v>33</v>
      </c>
      <c r="I15" s="57"/>
      <c r="J15" s="57"/>
      <c r="K15" s="57"/>
    </row>
    <row r="16" spans="1:251" ht="28.5">
      <c r="A16" s="193" t="s">
        <v>35</v>
      </c>
      <c r="B16" s="193"/>
      <c r="C16" s="193"/>
      <c r="D16" s="193"/>
      <c r="E16" s="193"/>
      <c r="F16" s="193"/>
      <c r="G16" s="193"/>
      <c r="H16" s="62" t="s">
        <v>33</v>
      </c>
      <c r="I16" s="56"/>
      <c r="J16" s="56"/>
      <c r="K16" s="56"/>
    </row>
    <row r="17" spans="1:11" ht="14.25">
      <c r="A17" s="58"/>
      <c r="B17" s="58"/>
      <c r="C17" s="58"/>
      <c r="D17" s="58"/>
      <c r="E17" s="58"/>
      <c r="F17" s="58"/>
      <c r="G17" s="58"/>
      <c r="H17" s="59"/>
      <c r="I17" s="58"/>
      <c r="J17" s="58"/>
      <c r="K17" s="58"/>
    </row>
    <row r="18" spans="1:11" ht="15">
      <c r="A18" s="196" t="s">
        <v>36</v>
      </c>
      <c r="B18" s="196"/>
      <c r="C18" s="196"/>
      <c r="D18" s="196"/>
      <c r="E18" s="196"/>
      <c r="F18" s="196"/>
      <c r="G18" s="196"/>
      <c r="H18" s="196"/>
      <c r="I18" s="196"/>
      <c r="J18" s="196"/>
      <c r="K18" s="196"/>
    </row>
    <row r="19" spans="1:11" ht="14.25">
      <c r="A19" s="179" t="s">
        <v>30</v>
      </c>
      <c r="B19" s="179"/>
      <c r="C19" s="179"/>
      <c r="D19" s="54"/>
      <c r="E19" s="54"/>
      <c r="F19" s="54"/>
      <c r="G19" s="54"/>
      <c r="H19" s="55" t="s">
        <v>24</v>
      </c>
      <c r="I19" s="200" t="s">
        <v>31</v>
      </c>
      <c r="J19" s="200"/>
      <c r="K19" s="200"/>
    </row>
    <row r="20" spans="1:11" ht="28.5">
      <c r="A20" s="193" t="s">
        <v>37</v>
      </c>
      <c r="B20" s="193"/>
      <c r="C20" s="193"/>
      <c r="D20" s="193"/>
      <c r="E20" s="193"/>
      <c r="F20" s="193"/>
      <c r="G20" s="193"/>
      <c r="H20" s="62" t="s">
        <v>33</v>
      </c>
      <c r="I20" s="56"/>
      <c r="J20" s="56"/>
      <c r="K20" s="56"/>
    </row>
    <row r="21" spans="1:11" ht="28.5">
      <c r="A21" s="194" t="s">
        <v>38</v>
      </c>
      <c r="B21" s="194"/>
      <c r="C21" s="194"/>
      <c r="D21" s="194"/>
      <c r="E21" s="194"/>
      <c r="F21" s="194"/>
      <c r="G21" s="194"/>
      <c r="H21" s="62" t="s">
        <v>33</v>
      </c>
      <c r="I21" s="57"/>
      <c r="J21" s="57"/>
      <c r="K21" s="57"/>
    </row>
    <row r="22" spans="1:11" ht="28.5">
      <c r="A22" s="193" t="s">
        <v>39</v>
      </c>
      <c r="B22" s="193"/>
      <c r="C22" s="193"/>
      <c r="D22" s="193"/>
      <c r="E22" s="193"/>
      <c r="F22" s="193"/>
      <c r="G22" s="193"/>
      <c r="H22" s="62" t="s">
        <v>33</v>
      </c>
      <c r="I22" s="56"/>
      <c r="J22" s="56"/>
      <c r="K22" s="56"/>
    </row>
    <row r="23" spans="1:11" ht="14.25">
      <c r="A23" s="176"/>
      <c r="B23" s="176"/>
      <c r="C23" s="176"/>
      <c r="D23" s="176"/>
      <c r="E23" s="176"/>
      <c r="F23" s="176"/>
      <c r="G23" s="176"/>
      <c r="H23" s="176"/>
      <c r="I23" s="176"/>
      <c r="J23" s="176"/>
      <c r="K23" s="176"/>
    </row>
    <row r="24" spans="1:11" ht="15" customHeight="1">
      <c r="A24" s="179"/>
      <c r="B24" s="179"/>
      <c r="C24" s="179"/>
      <c r="D24" s="179"/>
      <c r="E24" s="179"/>
      <c r="F24" s="195" t="s">
        <v>40</v>
      </c>
      <c r="G24" s="195"/>
      <c r="H24" s="238" t="str">
        <f>IF(H14="&lt;&lt; kies &gt;&gt;","?",IF(H15="&lt;&lt; kies &gt;&gt;","?",IF(H16="&lt;&lt; kies &gt;&gt;","?",IF(H20="&lt;&lt; kies &gt;&gt;","?",IF(H21="&lt;&lt; kies &gt;&gt;","?",IF(H22="&lt;&lt; kies &gt;&gt;","?",IF(C4="Diagnostisch primair",IF(H14="Ja",IF(H15="Ja",IF(H16="Ja",IF(H20="Ja",IF(H21="Ja",IF(H22="Ja","Pass","Fail"),"Fail"),"Fail"),"Fail"),"Fail"),"Fail"),"Geen grenswaarde")))))))</f>
        <v>?</v>
      </c>
      <c r="I24" s="238"/>
      <c r="J24" s="238"/>
      <c r="K24" s="238"/>
    </row>
  </sheetData>
  <mergeCells count="16">
    <mergeCell ref="A21:G21"/>
    <mergeCell ref="A22:G22"/>
    <mergeCell ref="F24:G24"/>
    <mergeCell ref="H24:K24"/>
    <mergeCell ref="A14:G14"/>
    <mergeCell ref="A15:G15"/>
    <mergeCell ref="A16:G16"/>
    <mergeCell ref="A18:K18"/>
    <mergeCell ref="I19:K19"/>
    <mergeCell ref="A20:G20"/>
    <mergeCell ref="I13:K13"/>
    <mergeCell ref="I3:J4"/>
    <mergeCell ref="C4:D4"/>
    <mergeCell ref="I5:J6"/>
    <mergeCell ref="A6:B6"/>
    <mergeCell ref="A12:K12"/>
  </mergeCells>
  <conditionalFormatting sqref="I5:J6">
    <cfRule type="containsText" dxfId="7" priority="7" operator="containsText" text="Pass">
      <formula>NOT(ISERROR(SEARCH("Pass",I5)))</formula>
    </cfRule>
    <cfRule type="containsText" dxfId="6" priority="8" operator="containsText" text="Fail">
      <formula>NOT(ISERROR(SEARCH("Fail",I5)))</formula>
    </cfRule>
  </conditionalFormatting>
  <conditionalFormatting sqref="H14 H16 H20 H22">
    <cfRule type="cellIs" dxfId="5" priority="1" stopIfTrue="1" operator="equal">
      <formula>"Nee"</formula>
    </cfRule>
    <cfRule type="cellIs" dxfId="4" priority="2" stopIfTrue="1" operator="equal">
      <formula>"Ja"</formula>
    </cfRule>
  </conditionalFormatting>
  <conditionalFormatting sqref="H15 H21">
    <cfRule type="cellIs" dxfId="3" priority="3" stopIfTrue="1" operator="equal">
      <formula>"Nee"</formula>
    </cfRule>
    <cfRule type="cellIs" dxfId="2" priority="4" stopIfTrue="1" operator="equal">
      <formula>"Ja"</formula>
    </cfRule>
  </conditionalFormatting>
  <conditionalFormatting sqref="H24">
    <cfRule type="cellIs" dxfId="1" priority="5" stopIfTrue="1" operator="equal">
      <formula>"Fail"</formula>
    </cfRule>
    <cfRule type="cellIs" dxfId="0" priority="6" stopIfTrue="1" operator="equal">
      <formula>"Pass"</formula>
    </cfRule>
  </conditionalFormatting>
  <dataValidations count="2">
    <dataValidation type="list" allowBlank="1" showInputMessage="1" showErrorMessage="1" sqref="H14:H17 H20:H22">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5" workbookViewId="0">
      <selection activeCell="B20" sqref="B20:C20"/>
    </sheetView>
  </sheetViews>
  <sheetFormatPr defaultColWidth="10.85546875" defaultRowHeight="12.75"/>
  <cols>
    <col min="1" max="1" width="18.28515625" style="61" customWidth="1"/>
    <col min="2" max="2" width="10.85546875" style="61"/>
    <col min="3" max="3" width="17.7109375" style="61" customWidth="1"/>
    <col min="4" max="4" width="11" style="61" bestFit="1" customWidth="1"/>
    <col min="5" max="16384" width="10.85546875" style="61"/>
  </cols>
  <sheetData>
    <row r="1" spans="1:256" s="4" customFormat="1" ht="29.1" customHeight="1">
      <c r="A1" s="2" t="s">
        <v>45</v>
      </c>
      <c r="B1" s="3"/>
      <c r="C1" s="3"/>
      <c r="D1" s="3"/>
      <c r="E1" s="3"/>
      <c r="F1" s="3"/>
      <c r="G1" s="3"/>
      <c r="H1" s="3"/>
      <c r="I1" s="3"/>
      <c r="J1" s="3"/>
      <c r="K1" s="3"/>
      <c r="L1" s="3"/>
      <c r="M1" s="3"/>
      <c r="N1" s="3"/>
      <c r="O1" s="3"/>
      <c r="P1" s="3"/>
    </row>
    <row r="3" spans="1:256" s="4" customFormat="1" ht="18" customHeight="1">
      <c r="A3" s="19" t="s">
        <v>46</v>
      </c>
      <c r="B3" s="20"/>
      <c r="C3" s="20"/>
      <c r="D3" s="20"/>
      <c r="E3" s="20"/>
      <c r="F3" s="20"/>
      <c r="G3" s="20"/>
      <c r="H3" s="21"/>
      <c r="I3" s="21"/>
      <c r="J3" s="21"/>
      <c r="K3" s="21"/>
      <c r="L3" s="21"/>
      <c r="M3" s="21"/>
      <c r="N3" s="21"/>
      <c r="O3" s="21"/>
      <c r="P3" s="22"/>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c r="FZ3" s="11"/>
      <c r="GA3" s="11"/>
      <c r="GB3" s="11"/>
      <c r="GC3" s="11"/>
      <c r="GD3" s="11"/>
      <c r="GE3" s="11"/>
      <c r="GF3" s="11"/>
      <c r="GG3" s="11"/>
      <c r="GH3" s="11"/>
      <c r="GI3" s="11"/>
      <c r="GJ3" s="11"/>
      <c r="GK3" s="11"/>
      <c r="GL3" s="11"/>
      <c r="GM3" s="11"/>
      <c r="GN3" s="11"/>
      <c r="GO3" s="11"/>
      <c r="GP3" s="11"/>
      <c r="GQ3" s="11"/>
      <c r="GR3" s="11"/>
      <c r="GS3" s="11"/>
      <c r="GT3" s="11"/>
      <c r="GU3" s="11"/>
      <c r="GV3" s="11"/>
      <c r="GW3" s="11"/>
      <c r="GX3" s="11"/>
      <c r="GY3" s="11"/>
      <c r="GZ3" s="11"/>
      <c r="HA3" s="11"/>
      <c r="HB3" s="11"/>
      <c r="HC3" s="11"/>
      <c r="HD3" s="11"/>
      <c r="HE3" s="11"/>
      <c r="HF3" s="11"/>
      <c r="HG3" s="11"/>
      <c r="HH3" s="11"/>
      <c r="HI3" s="11"/>
      <c r="HJ3" s="11"/>
      <c r="HK3" s="11"/>
      <c r="HL3" s="11"/>
      <c r="HM3" s="11"/>
      <c r="HN3" s="11"/>
      <c r="HO3" s="11"/>
      <c r="HP3" s="11"/>
      <c r="HQ3" s="11"/>
      <c r="HR3" s="11"/>
      <c r="HS3" s="11"/>
      <c r="HT3" s="11"/>
      <c r="HU3" s="11"/>
      <c r="HV3" s="11"/>
      <c r="HW3" s="11"/>
      <c r="HX3" s="11"/>
      <c r="HY3" s="11"/>
      <c r="HZ3" s="11"/>
      <c r="IA3" s="11"/>
      <c r="IB3" s="11"/>
      <c r="IC3" s="11"/>
      <c r="ID3" s="11"/>
      <c r="IE3" s="11"/>
      <c r="IF3" s="11"/>
      <c r="IG3" s="11"/>
      <c r="IH3" s="11"/>
      <c r="II3" s="11"/>
      <c r="IJ3" s="11"/>
      <c r="IK3" s="11"/>
      <c r="IL3" s="11"/>
      <c r="IM3" s="11"/>
      <c r="IN3" s="11"/>
      <c r="IO3" s="11"/>
      <c r="IP3" s="11"/>
      <c r="IQ3" s="11"/>
      <c r="IR3" s="11"/>
      <c r="IS3" s="11"/>
      <c r="IT3" s="11"/>
      <c r="IU3" s="11"/>
      <c r="IV3" s="11"/>
    </row>
    <row r="5" spans="1:256" s="63" customFormat="1" ht="18" customHeight="1">
      <c r="A5" s="63" t="s">
        <v>47</v>
      </c>
      <c r="B5" s="189"/>
      <c r="C5" s="189"/>
    </row>
    <row r="6" spans="1:256" s="63" customFormat="1" ht="18" customHeight="1">
      <c r="A6" s="63" t="s">
        <v>48</v>
      </c>
      <c r="B6" s="189"/>
      <c r="C6" s="189"/>
    </row>
    <row r="8" spans="1:256" s="4" customFormat="1" ht="18" customHeight="1">
      <c r="A8" s="19" t="s">
        <v>115</v>
      </c>
      <c r="B8" s="20"/>
      <c r="C8" s="20"/>
      <c r="D8" s="20"/>
      <c r="E8" s="20"/>
      <c r="F8" s="20"/>
      <c r="G8" s="20"/>
      <c r="H8" s="21"/>
      <c r="I8" s="21"/>
      <c r="J8" s="21"/>
      <c r="K8" s="21"/>
      <c r="L8" s="21"/>
      <c r="M8" s="21"/>
      <c r="N8" s="21"/>
      <c r="O8" s="21"/>
      <c r="P8" s="22"/>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row>
    <row r="10" spans="1:256" s="63" customFormat="1" ht="18" customHeight="1">
      <c r="A10" s="63" t="s">
        <v>49</v>
      </c>
      <c r="B10" s="189"/>
      <c r="C10" s="189"/>
    </row>
    <row r="11" spans="1:256" s="63" customFormat="1" ht="18" customHeight="1">
      <c r="A11" s="63" t="s">
        <v>50</v>
      </c>
      <c r="B11" s="190"/>
      <c r="C11" s="190"/>
    </row>
    <row r="12" spans="1:256" s="63" customFormat="1" ht="18" customHeight="1">
      <c r="A12" s="63" t="s">
        <v>52</v>
      </c>
      <c r="B12" s="189"/>
      <c r="C12" s="189"/>
    </row>
    <row r="13" spans="1:256" s="63" customFormat="1" ht="18" customHeight="1">
      <c r="A13" s="63" t="s">
        <v>51</v>
      </c>
      <c r="B13" s="189"/>
      <c r="C13" s="189"/>
    </row>
    <row r="14" spans="1:256" s="63" customFormat="1" ht="18" customHeight="1">
      <c r="A14" s="63" t="s">
        <v>155</v>
      </c>
      <c r="B14" s="189"/>
      <c r="C14" s="189"/>
    </row>
    <row r="15" spans="1:256" s="63" customFormat="1" ht="18" customHeight="1">
      <c r="A15" s="63" t="s">
        <v>156</v>
      </c>
      <c r="B15" s="189"/>
      <c r="C15" s="189"/>
    </row>
    <row r="17" spans="1:256" s="4" customFormat="1" ht="18" customHeight="1">
      <c r="A17" s="19" t="s">
        <v>116</v>
      </c>
      <c r="B17" s="20"/>
      <c r="C17" s="20"/>
      <c r="D17" s="20"/>
      <c r="E17" s="20"/>
      <c r="F17" s="20"/>
      <c r="G17" s="20"/>
      <c r="H17" s="21"/>
      <c r="I17" s="21"/>
      <c r="J17" s="21"/>
      <c r="K17" s="21"/>
      <c r="L17" s="21"/>
      <c r="M17" s="21"/>
      <c r="N17" s="21"/>
      <c r="O17" s="21"/>
      <c r="P17" s="22"/>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c r="IV17" s="11"/>
    </row>
    <row r="19" spans="1:256" s="63" customFormat="1" ht="18" customHeight="1">
      <c r="A19" s="63" t="s">
        <v>49</v>
      </c>
      <c r="B19" s="189"/>
      <c r="C19" s="189"/>
    </row>
    <row r="20" spans="1:256" s="63" customFormat="1" ht="18" customHeight="1">
      <c r="A20" s="63" t="s">
        <v>50</v>
      </c>
      <c r="B20" s="190"/>
      <c r="C20" s="190"/>
    </row>
    <row r="21" spans="1:256" s="63" customFormat="1" ht="18" customHeight="1">
      <c r="A21" s="63" t="s">
        <v>52</v>
      </c>
      <c r="B21" s="189"/>
      <c r="C21" s="189"/>
    </row>
    <row r="22" spans="1:256" s="63" customFormat="1" ht="18" customHeight="1">
      <c r="A22" s="63" t="s">
        <v>51</v>
      </c>
      <c r="B22" s="189"/>
      <c r="C22" s="189"/>
    </row>
    <row r="23" spans="1:256" s="63" customFormat="1" ht="18" customHeight="1">
      <c r="A23" s="63" t="s">
        <v>155</v>
      </c>
      <c r="B23" s="189"/>
      <c r="C23" s="189"/>
    </row>
    <row r="24" spans="1:256" s="63" customFormat="1" ht="18" customHeight="1">
      <c r="A24" s="63" t="s">
        <v>156</v>
      </c>
      <c r="B24" s="189"/>
      <c r="C24" s="189"/>
    </row>
    <row r="26" spans="1:256" s="4" customFormat="1" ht="18" customHeight="1">
      <c r="A26" s="19" t="s">
        <v>81</v>
      </c>
      <c r="B26" s="20"/>
      <c r="C26" s="20"/>
      <c r="D26" s="20"/>
      <c r="E26" s="20"/>
      <c r="F26" s="20"/>
      <c r="G26" s="20"/>
      <c r="H26" s="21"/>
      <c r="I26" s="21"/>
      <c r="J26" s="21"/>
      <c r="K26" s="21"/>
      <c r="L26" s="21"/>
      <c r="M26" s="21"/>
      <c r="N26" s="21"/>
      <c r="O26" s="21"/>
      <c r="P26" s="22"/>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row>
    <row r="28" spans="1:256" ht="15">
      <c r="A28" s="65" t="s">
        <v>53</v>
      </c>
      <c r="B28" s="65"/>
      <c r="C28" s="66"/>
      <c r="D28" s="65" t="s">
        <v>163</v>
      </c>
      <c r="E28" s="184" t="s">
        <v>164</v>
      </c>
    </row>
    <row r="29" spans="1:256" ht="18" customHeight="1">
      <c r="A29" s="66" t="s">
        <v>145</v>
      </c>
      <c r="B29" s="66"/>
      <c r="C29" s="66"/>
      <c r="D29" s="90" t="str">
        <f>'§5.2 Globale evaluatie LINKS'!I5</f>
        <v>?</v>
      </c>
      <c r="E29" s="185" t="str">
        <f>'§5.2 Globale evaluatie RECHTS'!I5</f>
        <v>?</v>
      </c>
    </row>
    <row r="30" spans="1:256" ht="18" customHeight="1">
      <c r="A30" s="66" t="s">
        <v>146</v>
      </c>
      <c r="B30" s="66"/>
      <c r="C30" s="66"/>
      <c r="D30" s="90" t="str">
        <f>'§5.3 Lmax en Lmin'!J5</f>
        <v>?</v>
      </c>
      <c r="E30" s="90" t="str">
        <f>'§5.3 Lmax en Lmin'!J6</f>
        <v>?</v>
      </c>
    </row>
    <row r="31" spans="1:256" ht="18" customHeight="1">
      <c r="A31" s="66" t="s">
        <v>147</v>
      </c>
      <c r="B31" s="66"/>
      <c r="C31" s="66"/>
      <c r="D31" s="90" t="str">
        <f>'§5.3 Lmax en Lmin'!J7</f>
        <v>?</v>
      </c>
      <c r="E31" s="186"/>
    </row>
    <row r="32" spans="1:256" ht="18" customHeight="1">
      <c r="A32" s="66" t="s">
        <v>148</v>
      </c>
      <c r="B32" s="66"/>
      <c r="C32" s="66"/>
      <c r="D32" s="64" t="str">
        <f>'§5.4 Luminance response (GSDF)'!K5</f>
        <v>Pass</v>
      </c>
      <c r="E32" s="64" t="str">
        <f>'§5.4 Luminance response (GSDF)'!$K$6</f>
        <v>Fail</v>
      </c>
    </row>
    <row r="33" spans="1:5" ht="18" customHeight="1">
      <c r="A33" s="66" t="s">
        <v>149</v>
      </c>
      <c r="B33" s="66"/>
      <c r="C33" s="66"/>
      <c r="D33" s="90" t="str">
        <f>'§5.5 Niet-uniformiteit'!J5</f>
        <v>?</v>
      </c>
      <c r="E33" s="90" t="str">
        <f>'§5.5 Niet-uniformiteit'!J6</f>
        <v>?</v>
      </c>
    </row>
    <row r="34" spans="1:5" ht="18" customHeight="1">
      <c r="A34" s="66" t="s">
        <v>150</v>
      </c>
      <c r="B34" s="66"/>
      <c r="C34" s="66"/>
      <c r="D34" s="90" t="str">
        <f>'§5.6 Kleuruniformiteit LINKS'!I5</f>
        <v>?</v>
      </c>
      <c r="E34" s="186" t="str">
        <f>'§5.6 Kleuruniformiteit RECHTS'!I5</f>
        <v>?</v>
      </c>
    </row>
    <row r="35" spans="1:5" ht="18" customHeight="1">
      <c r="A35" s="66" t="s">
        <v>151</v>
      </c>
      <c r="B35" s="66"/>
      <c r="C35" s="66"/>
      <c r="D35" s="90" t="str">
        <f>'§5.7 Pixel fout evaluatie LINKS'!J5</f>
        <v>?</v>
      </c>
      <c r="E35" s="186" t="str">
        <f>'§5.7 Pixel fout evaluatie RECHT'!J5</f>
        <v>?</v>
      </c>
    </row>
    <row r="36" spans="1:5" ht="18" customHeight="1">
      <c r="A36" s="66" t="s">
        <v>152</v>
      </c>
      <c r="B36" s="66"/>
      <c r="C36" s="66"/>
      <c r="D36" s="90" t="str">
        <f>'§5.7 Pixel fout evaluatie LINKS'!J6</f>
        <v>?</v>
      </c>
      <c r="E36" s="186" t="str">
        <f>'§5.7 Pixel fout evaluatie RECHT'!J6</f>
        <v>?</v>
      </c>
    </row>
    <row r="37" spans="1:5" ht="18" customHeight="1">
      <c r="A37" s="66" t="s">
        <v>153</v>
      </c>
      <c r="B37" s="66"/>
      <c r="C37" s="66"/>
      <c r="D37" s="90" t="str">
        <f>'§5.8 Display resolution LINKS'!I5</f>
        <v>?</v>
      </c>
      <c r="E37" s="186" t="str">
        <f>'§5.8 Display resolution RECHTS'!I5</f>
        <v>?</v>
      </c>
    </row>
    <row r="38" spans="1:5" ht="18" customHeight="1">
      <c r="A38" s="66"/>
      <c r="B38" s="66"/>
      <c r="C38" s="66"/>
      <c r="D38" s="66"/>
    </row>
    <row r="39" spans="1:5" ht="18" customHeight="1">
      <c r="A39" s="65" t="s">
        <v>154</v>
      </c>
      <c r="B39" s="66"/>
      <c r="C39" s="66"/>
      <c r="D39" s="66"/>
    </row>
    <row r="40" spans="1:5" ht="18" customHeight="1">
      <c r="A40" s="66"/>
      <c r="B40" s="66"/>
      <c r="C40" s="66"/>
      <c r="D40" s="66"/>
    </row>
    <row r="41" spans="1:5" ht="14.25">
      <c r="A41" s="66"/>
      <c r="B41" s="66"/>
      <c r="C41" s="66"/>
      <c r="D41" s="66"/>
    </row>
    <row r="42" spans="1:5" ht="14.25">
      <c r="A42" s="66"/>
      <c r="B42" s="66"/>
      <c r="C42" s="66"/>
      <c r="D42" s="66"/>
    </row>
    <row r="43" spans="1:5" ht="14.25">
      <c r="A43" s="66"/>
      <c r="B43" s="66"/>
      <c r="C43" s="66"/>
      <c r="D43" s="66"/>
    </row>
    <row r="44" spans="1:5" ht="14.25">
      <c r="A44" s="66"/>
      <c r="B44" s="66"/>
      <c r="C44" s="66"/>
      <c r="D44" s="66"/>
    </row>
    <row r="45" spans="1:5" ht="14.25">
      <c r="A45" s="66"/>
      <c r="B45" s="66"/>
      <c r="C45" s="66"/>
      <c r="D45" s="66"/>
    </row>
    <row r="46" spans="1:5" ht="14.25">
      <c r="A46" s="66"/>
      <c r="B46" s="66"/>
      <c r="C46" s="66"/>
      <c r="D46" s="66"/>
    </row>
    <row r="47" spans="1:5" ht="14.25">
      <c r="A47" s="66"/>
      <c r="B47" s="66"/>
      <c r="C47" s="66"/>
      <c r="D47" s="66"/>
    </row>
  </sheetData>
  <mergeCells count="14">
    <mergeCell ref="B22:C22"/>
    <mergeCell ref="B23:C23"/>
    <mergeCell ref="B24:C24"/>
    <mergeCell ref="B14:C14"/>
    <mergeCell ref="B15:C15"/>
    <mergeCell ref="B19:C19"/>
    <mergeCell ref="B20:C20"/>
    <mergeCell ref="B21:C21"/>
    <mergeCell ref="B13:C13"/>
    <mergeCell ref="B5:C5"/>
    <mergeCell ref="B6:C6"/>
    <mergeCell ref="B10:C10"/>
    <mergeCell ref="B11:C11"/>
    <mergeCell ref="B12:C12"/>
  </mergeCells>
  <conditionalFormatting sqref="E30 D29:D32 E32 D33:E33">
    <cfRule type="containsText" dxfId="159" priority="11" operator="containsText" text="Pass">
      <formula>NOT(ISERROR(SEARCH("Pass",D29)))</formula>
    </cfRule>
    <cfRule type="containsText" dxfId="158" priority="12" operator="containsText" text="Fail">
      <formula>NOT(ISERROR(SEARCH("Fail",D29)))</formula>
    </cfRule>
  </conditionalFormatting>
  <conditionalFormatting sqref="D37">
    <cfRule type="containsText" dxfId="157" priority="9" operator="containsText" text="Pass">
      <formula>NOT(ISERROR(SEARCH("Pass",D37)))</formula>
    </cfRule>
    <cfRule type="containsText" dxfId="156" priority="10" operator="containsText" text="Fail">
      <formula>NOT(ISERROR(SEARCH("Fail",D37)))</formula>
    </cfRule>
  </conditionalFormatting>
  <conditionalFormatting sqref="D35:D36">
    <cfRule type="containsText" dxfId="155" priority="7" operator="containsText" text="Pass">
      <formula>NOT(ISERROR(SEARCH("Pass",D35)))</formula>
    </cfRule>
    <cfRule type="containsText" dxfId="154" priority="8" operator="containsText" text="Fail">
      <formula>NOT(ISERROR(SEARCH("Fail",D35)))</formula>
    </cfRule>
  </conditionalFormatting>
  <conditionalFormatting sqref="D34">
    <cfRule type="containsText" dxfId="153" priority="5" operator="containsText" text="Pass">
      <formula>NOT(ISERROR(SEARCH("Pass",D34)))</formula>
    </cfRule>
    <cfRule type="containsText" dxfId="152" priority="6" operator="containsText" text="Fail">
      <formula>NOT(ISERROR(SEARCH("Fail",D34)))</formula>
    </cfRule>
  </conditionalFormatting>
  <dataValidations count="1">
    <dataValidation type="list" allowBlank="1" showInputMessage="1" showErrorMessage="1" sqref="B11:C11 B20:C20">
      <formula1>"Mammografie, Diagnostisch, Review,"</formula1>
    </dataValidation>
  </dataValidation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5"/>
  <sheetViews>
    <sheetView workbookViewId="0">
      <selection activeCell="A9" sqref="A9:XFD30"/>
    </sheetView>
  </sheetViews>
  <sheetFormatPr defaultColWidth="10.85546875" defaultRowHeight="12.75"/>
  <cols>
    <col min="1" max="1" width="10.85546875" style="61"/>
    <col min="2" max="2" width="14.42578125" style="61" customWidth="1"/>
    <col min="3" max="3" width="18" style="61" customWidth="1"/>
    <col min="4" max="6" width="10.85546875" style="61"/>
    <col min="7" max="7" width="12.42578125" style="61" bestFit="1" customWidth="1"/>
    <col min="8" max="8" width="16.85546875" style="61" customWidth="1"/>
    <col min="9" max="16384" width="10.85546875" style="61"/>
  </cols>
  <sheetData>
    <row r="1" spans="1:251" s="4" customFormat="1" ht="29.1" customHeight="1">
      <c r="A1" s="2" t="s">
        <v>127</v>
      </c>
      <c r="B1" s="3"/>
      <c r="C1" s="3"/>
      <c r="D1" s="3"/>
      <c r="E1" s="3"/>
      <c r="F1" s="3"/>
      <c r="G1" s="3"/>
      <c r="H1" s="3"/>
      <c r="I1" s="3"/>
      <c r="J1" s="3"/>
      <c r="K1" s="3"/>
    </row>
    <row r="2" spans="1:251" s="4" customFormat="1">
      <c r="A2" s="5"/>
    </row>
    <row r="3" spans="1:251" s="4" customFormat="1">
      <c r="A3" s="89" t="s">
        <v>140</v>
      </c>
    </row>
    <row r="4" spans="1:251" s="4" customFormat="1">
      <c r="A4" s="89" t="s">
        <v>143</v>
      </c>
    </row>
    <row r="5" spans="1:251" s="4" customFormat="1">
      <c r="A5" s="5"/>
    </row>
    <row r="6" spans="1:251" s="4" customFormat="1" ht="18" customHeight="1">
      <c r="A6" s="19" t="s">
        <v>134</v>
      </c>
      <c r="B6" s="20"/>
      <c r="C6" s="20"/>
      <c r="D6" s="20"/>
      <c r="E6" s="20"/>
      <c r="F6" s="20"/>
      <c r="G6" s="20"/>
      <c r="H6" s="21"/>
      <c r="I6" s="21"/>
      <c r="J6" s="21"/>
      <c r="K6" s="2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row>
    <row r="9" spans="1:251" ht="14.25">
      <c r="B9" s="173" t="s">
        <v>115</v>
      </c>
      <c r="C9" s="173" t="s">
        <v>116</v>
      </c>
    </row>
    <row r="10" spans="1:251">
      <c r="B10" s="160" t="s">
        <v>129</v>
      </c>
      <c r="C10" s="160" t="s">
        <v>129</v>
      </c>
    </row>
    <row r="11" spans="1:251">
      <c r="B11" s="161" t="s">
        <v>130</v>
      </c>
      <c r="C11" s="161" t="s">
        <v>130</v>
      </c>
    </row>
    <row r="12" spans="1:251">
      <c r="A12" s="61" t="s">
        <v>136</v>
      </c>
      <c r="B12" s="165"/>
      <c r="C12" s="165"/>
    </row>
    <row r="13" spans="1:251">
      <c r="A13" s="61" t="s">
        <v>137</v>
      </c>
      <c r="B13" s="165"/>
      <c r="C13" s="165"/>
    </row>
    <row r="14" spans="1:251">
      <c r="A14" s="61" t="s">
        <v>138</v>
      </c>
      <c r="B14" s="165"/>
      <c r="C14" s="165"/>
    </row>
    <row r="15" spans="1:251" ht="13.5" thickBot="1">
      <c r="B15" s="166"/>
      <c r="C15" s="166"/>
    </row>
    <row r="16" spans="1:251" ht="13.5" thickBot="1">
      <c r="A16" s="61" t="s">
        <v>139</v>
      </c>
      <c r="B16" s="169" t="str">
        <f>IF(ISBLANK(B12),"",AVERAGE(B12:B14))</f>
        <v/>
      </c>
      <c r="C16" s="169" t="str">
        <f>IF(ISBLANK(C12),"",AVERAGE(C12:C14))</f>
        <v/>
      </c>
    </row>
    <row r="19" spans="1:251" s="4" customFormat="1" ht="18" customHeight="1">
      <c r="A19" s="19" t="s">
        <v>135</v>
      </c>
      <c r="B19" s="20"/>
      <c r="C19" s="20"/>
      <c r="D19" s="20"/>
      <c r="E19" s="20"/>
      <c r="F19" s="20"/>
      <c r="G19" s="20"/>
      <c r="H19" s="21"/>
      <c r="I19" s="21"/>
      <c r="J19" s="21"/>
      <c r="K19" s="2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c r="IJ19" s="11"/>
      <c r="IK19" s="11"/>
      <c r="IL19" s="11"/>
      <c r="IM19" s="11"/>
      <c r="IN19" s="11"/>
      <c r="IO19" s="11"/>
      <c r="IP19" s="11"/>
      <c r="IQ19" s="11"/>
    </row>
    <row r="21" spans="1:251" ht="14.25">
      <c r="B21" s="192" t="s">
        <v>115</v>
      </c>
      <c r="C21" s="192"/>
      <c r="D21" s="192"/>
      <c r="G21" s="192" t="s">
        <v>115</v>
      </c>
      <c r="H21" s="192"/>
      <c r="I21" s="192"/>
    </row>
    <row r="22" spans="1:251">
      <c r="B22" s="160" t="s">
        <v>128</v>
      </c>
      <c r="C22" s="164" t="s">
        <v>132</v>
      </c>
      <c r="D22" s="164" t="s">
        <v>129</v>
      </c>
      <c r="G22" s="160" t="s">
        <v>128</v>
      </c>
      <c r="H22" s="164" t="s">
        <v>132</v>
      </c>
      <c r="I22" s="164" t="s">
        <v>129</v>
      </c>
    </row>
    <row r="23" spans="1:251">
      <c r="B23" s="161"/>
      <c r="C23" s="162" t="s">
        <v>133</v>
      </c>
      <c r="D23" s="162" t="s">
        <v>130</v>
      </c>
      <c r="G23" s="161"/>
      <c r="H23" s="162" t="s">
        <v>133</v>
      </c>
      <c r="I23" s="162" t="s">
        <v>130</v>
      </c>
    </row>
    <row r="24" spans="1:251">
      <c r="A24" s="163" t="s">
        <v>131</v>
      </c>
      <c r="B24" s="172">
        <v>0.01</v>
      </c>
      <c r="C24" s="172">
        <v>10</v>
      </c>
      <c r="D24" s="172">
        <f t="shared" ref="D24" si="0">C24*B24</f>
        <v>0.1</v>
      </c>
      <c r="F24" s="163" t="s">
        <v>131</v>
      </c>
      <c r="G24" s="172">
        <v>0.01</v>
      </c>
      <c r="H24" s="172">
        <v>10</v>
      </c>
      <c r="I24" s="172">
        <f t="shared" ref="I24" si="1">H24*G24</f>
        <v>0.1</v>
      </c>
    </row>
    <row r="25" spans="1:251">
      <c r="C25" s="166"/>
      <c r="D25" s="166"/>
      <c r="H25" s="166"/>
      <c r="I25" s="166"/>
    </row>
    <row r="26" spans="1:251">
      <c r="A26" s="61" t="s">
        <v>136</v>
      </c>
      <c r="B26" s="165"/>
      <c r="C26" s="165"/>
      <c r="D26" s="165" t="str">
        <f>IF(ISBLANK(B26),"",C26*B26)</f>
        <v/>
      </c>
      <c r="F26" s="61" t="s">
        <v>136</v>
      </c>
      <c r="G26" s="165"/>
      <c r="H26" s="165"/>
      <c r="I26" s="165" t="str">
        <f>IF(ISBLANK(G26),"",H26*G26)</f>
        <v/>
      </c>
    </row>
    <row r="27" spans="1:251">
      <c r="A27" s="61" t="s">
        <v>137</v>
      </c>
      <c r="B27" s="165"/>
      <c r="C27" s="165"/>
      <c r="D27" s="165" t="str">
        <f>IF(ISBLANK(B27),"",C27*B27)</f>
        <v/>
      </c>
      <c r="F27" s="61" t="s">
        <v>137</v>
      </c>
      <c r="G27" s="165"/>
      <c r="H27" s="165"/>
      <c r="I27" s="165" t="str">
        <f>IF(ISBLANK(G27),"",H27*G27)</f>
        <v/>
      </c>
    </row>
    <row r="28" spans="1:251">
      <c r="A28" s="61" t="s">
        <v>138</v>
      </c>
      <c r="B28" s="165"/>
      <c r="C28" s="165"/>
      <c r="D28" s="165" t="str">
        <f>IF(ISBLANK(B28),"",C28*B28)</f>
        <v/>
      </c>
      <c r="F28" s="61" t="s">
        <v>138</v>
      </c>
      <c r="G28" s="165"/>
      <c r="H28" s="165"/>
      <c r="I28" s="165" t="str">
        <f>IF(ISBLANK(G28),"",H28*G28)</f>
        <v/>
      </c>
    </row>
    <row r="29" spans="1:251" ht="13.5" thickBot="1">
      <c r="B29" s="170"/>
      <c r="C29" s="170"/>
      <c r="D29" s="170"/>
      <c r="G29" s="170"/>
      <c r="H29" s="170"/>
      <c r="I29" s="170"/>
    </row>
    <row r="30" spans="1:251" ht="13.5" thickBot="1">
      <c r="B30" s="170"/>
      <c r="C30" s="170" t="s">
        <v>139</v>
      </c>
      <c r="D30" s="171" t="str">
        <f>IF(ISBLANK(B26),"",AVERAGE(D26:D28))</f>
        <v/>
      </c>
      <c r="E30" s="163"/>
      <c r="G30" s="170"/>
      <c r="H30" s="170" t="s">
        <v>139</v>
      </c>
      <c r="I30" s="171" t="str">
        <f>IF(ISBLANK(G26),"",AVERAGE(I26:I28))</f>
        <v/>
      </c>
    </row>
    <row r="33" spans="1:11" s="167" customFormat="1" ht="18" customHeight="1">
      <c r="A33" s="168" t="s">
        <v>141</v>
      </c>
      <c r="B33" s="168"/>
      <c r="C33" s="168"/>
      <c r="D33" s="168"/>
      <c r="E33" s="168"/>
      <c r="F33" s="168"/>
      <c r="G33" s="168"/>
      <c r="H33" s="168"/>
      <c r="I33" s="168"/>
      <c r="J33" s="168"/>
      <c r="K33" s="168"/>
    </row>
    <row r="35" spans="1:11">
      <c r="A35" s="191" t="s">
        <v>142</v>
      </c>
      <c r="B35" s="191"/>
      <c r="C35" s="191"/>
      <c r="D35" s="191"/>
      <c r="E35" s="191"/>
      <c r="F35" s="191"/>
      <c r="G35" s="191"/>
    </row>
  </sheetData>
  <mergeCells count="3">
    <mergeCell ref="A35:G35"/>
    <mergeCell ref="B21:D21"/>
    <mergeCell ref="G21:I21"/>
  </mergeCells>
  <conditionalFormatting sqref="B26">
    <cfRule type="expression" dxfId="151" priority="8">
      <formula>EXACT(B26,"")</formula>
    </cfRule>
  </conditionalFormatting>
  <conditionalFormatting sqref="C26:C28">
    <cfRule type="expression" dxfId="150" priority="7">
      <formula>EXACT(C26,"")</formula>
    </cfRule>
  </conditionalFormatting>
  <conditionalFormatting sqref="B27:B28">
    <cfRule type="expression" dxfId="149" priority="6">
      <formula>EXACT(B27,"")</formula>
    </cfRule>
  </conditionalFormatting>
  <conditionalFormatting sqref="B12:B14">
    <cfRule type="expression" dxfId="148" priority="5">
      <formula>EXACT(B12,"")</formula>
    </cfRule>
  </conditionalFormatting>
  <conditionalFormatting sqref="C12:C14">
    <cfRule type="expression" dxfId="147" priority="4">
      <formula>EXACT(C12,"")</formula>
    </cfRule>
  </conditionalFormatting>
  <conditionalFormatting sqref="G26">
    <cfRule type="expression" dxfId="146" priority="3">
      <formula>EXACT(G26,"")</formula>
    </cfRule>
  </conditionalFormatting>
  <conditionalFormatting sqref="H26:H28">
    <cfRule type="expression" dxfId="145" priority="2">
      <formula>EXACT(H26,"")</formula>
    </cfRule>
  </conditionalFormatting>
  <conditionalFormatting sqref="G27:G28">
    <cfRule type="expression" dxfId="144" priority="1">
      <formula>EXACT(G27,"")</formula>
    </cfRule>
  </conditionalFormatting>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6"/>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161</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IF(H18="?","?",IF(H27="?","?",IF(H36="?","?",IF(AND(H18="Pass",H27="Pass",H36="Pass"),"Pass","Fail"))))</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80</v>
      </c>
      <c r="I6" s="207"/>
      <c r="J6" s="208"/>
    </row>
    <row r="8" spans="1:251" s="4" customFormat="1" ht="18" customHeight="1">
      <c r="A8" s="19" t="s">
        <v>41</v>
      </c>
      <c r="B8" s="20"/>
      <c r="C8" s="20"/>
      <c r="D8" s="20"/>
      <c r="E8" s="20"/>
      <c r="F8" s="20"/>
      <c r="G8" s="20"/>
      <c r="H8" s="21"/>
      <c r="I8" s="21"/>
      <c r="J8" s="21"/>
      <c r="K8" s="2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row>
    <row r="10" spans="1:251" s="108" customFormat="1" ht="12.75" customHeight="1">
      <c r="A10" s="196" t="s">
        <v>95</v>
      </c>
      <c r="B10" s="196"/>
      <c r="C10" s="196"/>
      <c r="D10" s="196"/>
      <c r="E10" s="196"/>
      <c r="F10" s="196"/>
      <c r="G10" s="196"/>
      <c r="H10" s="196"/>
      <c r="I10" s="196"/>
      <c r="J10" s="196"/>
      <c r="K10" s="196"/>
      <c r="L10" s="54"/>
      <c r="M10" s="54"/>
      <c r="N10" s="54"/>
    </row>
    <row r="11" spans="1:251" s="108" customFormat="1" ht="12.75" customHeight="1">
      <c r="A11" s="107" t="s">
        <v>30</v>
      </c>
      <c r="B11" s="107"/>
      <c r="C11" s="107"/>
      <c r="D11" s="54"/>
      <c r="E11" s="54"/>
      <c r="F11" s="54"/>
      <c r="G11" s="54"/>
      <c r="H11" s="55" t="s">
        <v>24</v>
      </c>
      <c r="I11" s="200" t="s">
        <v>126</v>
      </c>
      <c r="J11" s="200"/>
      <c r="K11" s="200"/>
      <c r="L11" s="54"/>
      <c r="M11" s="54"/>
      <c r="N11" s="54"/>
    </row>
    <row r="12" spans="1:251" s="108" customFormat="1" ht="27.75" customHeight="1">
      <c r="A12" s="193" t="s">
        <v>96</v>
      </c>
      <c r="B12" s="193"/>
      <c r="C12" s="193"/>
      <c r="D12" s="193"/>
      <c r="E12" s="193"/>
      <c r="F12" s="193"/>
      <c r="G12" s="193"/>
      <c r="H12" s="135" t="s">
        <v>33</v>
      </c>
      <c r="I12" s="197"/>
      <c r="J12" s="197"/>
      <c r="K12" s="197"/>
      <c r="L12" s="54"/>
      <c r="M12" s="54"/>
      <c r="N12" s="54"/>
    </row>
    <row r="13" spans="1:251" s="108" customFormat="1" ht="30.75" customHeight="1">
      <c r="A13" s="194" t="s">
        <v>97</v>
      </c>
      <c r="B13" s="194"/>
      <c r="C13" s="194"/>
      <c r="D13" s="194"/>
      <c r="E13" s="194"/>
      <c r="F13" s="194"/>
      <c r="G13" s="194"/>
      <c r="H13" s="136" t="s">
        <v>33</v>
      </c>
      <c r="I13" s="198"/>
      <c r="J13" s="198"/>
      <c r="K13" s="198"/>
      <c r="L13" s="54"/>
      <c r="M13" s="54"/>
      <c r="N13" s="54"/>
    </row>
    <row r="14" spans="1:251" s="108" customFormat="1" ht="30.75" customHeight="1">
      <c r="A14" s="193" t="s">
        <v>98</v>
      </c>
      <c r="B14" s="193"/>
      <c r="C14" s="193"/>
      <c r="D14" s="193"/>
      <c r="E14" s="193"/>
      <c r="F14" s="193"/>
      <c r="G14" s="193"/>
      <c r="H14" s="135" t="s">
        <v>33</v>
      </c>
      <c r="I14" s="197"/>
      <c r="J14" s="197"/>
      <c r="K14" s="197"/>
      <c r="L14" s="54"/>
      <c r="M14" s="54"/>
      <c r="N14" s="54"/>
    </row>
    <row r="15" spans="1:251" s="108" customFormat="1" ht="41.1" customHeight="1">
      <c r="A15" s="194" t="s">
        <v>99</v>
      </c>
      <c r="B15" s="194"/>
      <c r="C15" s="194"/>
      <c r="D15" s="194"/>
      <c r="E15" s="194"/>
      <c r="F15" s="194"/>
      <c r="G15" s="194"/>
      <c r="H15" s="136" t="s">
        <v>33</v>
      </c>
      <c r="I15" s="198"/>
      <c r="J15" s="198"/>
      <c r="K15" s="198"/>
      <c r="L15" s="54"/>
      <c r="M15" s="54"/>
      <c r="N15" s="54"/>
    </row>
    <row r="16" spans="1:251" s="108" customFormat="1" ht="17.100000000000001" customHeight="1">
      <c r="A16" s="193" t="s">
        <v>100</v>
      </c>
      <c r="B16" s="193"/>
      <c r="C16" s="193"/>
      <c r="D16" s="193"/>
      <c r="E16" s="193"/>
      <c r="F16" s="193"/>
      <c r="G16" s="193"/>
      <c r="H16" s="135" t="s">
        <v>33</v>
      </c>
      <c r="I16" s="197"/>
      <c r="J16" s="197"/>
      <c r="K16" s="197"/>
      <c r="L16" s="54"/>
      <c r="M16" s="54"/>
      <c r="N16" s="54"/>
    </row>
    <row r="17" spans="1:14" s="108" customFormat="1" ht="14.25">
      <c r="A17" s="107"/>
      <c r="B17" s="107"/>
      <c r="C17" s="107"/>
      <c r="D17" s="107"/>
      <c r="E17" s="107"/>
      <c r="F17" s="107"/>
      <c r="G17" s="107"/>
      <c r="H17" s="107"/>
      <c r="I17" s="107"/>
      <c r="J17" s="107"/>
      <c r="K17" s="107"/>
      <c r="L17" s="54"/>
      <c r="M17" s="54"/>
      <c r="N17" s="54"/>
    </row>
    <row r="18" spans="1:14" s="108" customFormat="1" ht="15.75">
      <c r="A18" s="107"/>
      <c r="B18" s="107"/>
      <c r="C18" s="107"/>
      <c r="D18" s="107"/>
      <c r="E18" s="107"/>
      <c r="F18" s="195" t="s">
        <v>40</v>
      </c>
      <c r="G18" s="195"/>
      <c r="H18" s="94" t="str">
        <f>IF(H12="&lt;&lt; kies &gt;&gt;","?",IF(H13="&lt;&lt; kies &gt;&gt;","?",IF(H14="&lt;&lt; kies &gt;&gt;","?",IF(H15="&lt;&lt; kies &gt;&gt;","?",IF(H16="&lt;&lt; kies &gt;&gt;","?",IF(AND(H12="Ja",H13="Ja",H14="Ja",H15="Ja",H16="Ja"),"Pass","Fail"))))))</f>
        <v>?</v>
      </c>
      <c r="I18" s="107"/>
      <c r="J18" s="107"/>
      <c r="K18" s="107"/>
      <c r="L18" s="54"/>
      <c r="M18" s="54"/>
      <c r="N18" s="54"/>
    </row>
    <row r="19" spans="1:14" s="108" customFormat="1" ht="14.25">
      <c r="A19" s="107"/>
      <c r="B19" s="107"/>
      <c r="C19" s="107"/>
      <c r="D19" s="107"/>
      <c r="E19" s="107"/>
      <c r="F19" s="107"/>
      <c r="G19" s="107"/>
      <c r="H19" s="107"/>
      <c r="I19" s="107"/>
      <c r="J19" s="107"/>
      <c r="K19" s="107"/>
      <c r="L19" s="54"/>
      <c r="M19" s="54"/>
      <c r="N19" s="54"/>
    </row>
    <row r="20" spans="1:14" s="108" customFormat="1" ht="12.75" customHeight="1">
      <c r="A20" s="196" t="s">
        <v>101</v>
      </c>
      <c r="B20" s="196"/>
      <c r="C20" s="196"/>
      <c r="D20" s="196"/>
      <c r="E20" s="196"/>
      <c r="F20" s="196"/>
      <c r="G20" s="196"/>
      <c r="H20" s="196"/>
      <c r="I20" s="196"/>
      <c r="J20" s="196"/>
      <c r="K20" s="196"/>
      <c r="L20" s="54"/>
      <c r="M20" s="54"/>
      <c r="N20" s="54"/>
    </row>
    <row r="21" spans="1:14" s="108" customFormat="1" ht="12.75" customHeight="1">
      <c r="A21" s="107" t="s">
        <v>30</v>
      </c>
      <c r="B21" s="107"/>
      <c r="C21" s="107"/>
      <c r="D21" s="54"/>
      <c r="E21" s="54"/>
      <c r="F21" s="54"/>
      <c r="G21" s="54"/>
      <c r="H21" s="55" t="s">
        <v>24</v>
      </c>
      <c r="I21" s="200" t="s">
        <v>126</v>
      </c>
      <c r="J21" s="200"/>
      <c r="K21" s="200"/>
      <c r="L21" s="107"/>
      <c r="M21" s="107"/>
      <c r="N21" s="107"/>
    </row>
    <row r="22" spans="1:14" s="108" customFormat="1" ht="27.75" customHeight="1">
      <c r="A22" s="193" t="s">
        <v>102</v>
      </c>
      <c r="B22" s="193"/>
      <c r="C22" s="193"/>
      <c r="D22" s="193"/>
      <c r="E22" s="193"/>
      <c r="F22" s="193"/>
      <c r="G22" s="193"/>
      <c r="H22" s="135" t="s">
        <v>33</v>
      </c>
      <c r="I22" s="197"/>
      <c r="J22" s="197"/>
      <c r="K22" s="197"/>
      <c r="L22" s="107"/>
      <c r="M22" s="107"/>
      <c r="N22" s="107"/>
    </row>
    <row r="23" spans="1:14" s="108" customFormat="1" ht="48.75" customHeight="1">
      <c r="A23" s="194" t="s">
        <v>103</v>
      </c>
      <c r="B23" s="194"/>
      <c r="C23" s="194"/>
      <c r="D23" s="194"/>
      <c r="E23" s="194"/>
      <c r="F23" s="194"/>
      <c r="G23" s="194"/>
      <c r="H23" s="136" t="s">
        <v>33</v>
      </c>
      <c r="I23" s="198"/>
      <c r="J23" s="198"/>
      <c r="K23" s="198"/>
      <c r="L23" s="107"/>
      <c r="M23" s="107"/>
      <c r="N23" s="107"/>
    </row>
    <row r="24" spans="1:14" s="108" customFormat="1" ht="30.75" customHeight="1">
      <c r="A24" s="193" t="s">
        <v>104</v>
      </c>
      <c r="B24" s="193"/>
      <c r="C24" s="193"/>
      <c r="D24" s="193"/>
      <c r="E24" s="193"/>
      <c r="F24" s="193"/>
      <c r="G24" s="193"/>
      <c r="H24" s="135" t="s">
        <v>33</v>
      </c>
      <c r="I24" s="197"/>
      <c r="J24" s="197"/>
      <c r="K24" s="197"/>
      <c r="L24" s="107"/>
      <c r="M24" s="107"/>
      <c r="N24" s="107"/>
    </row>
    <row r="25" spans="1:14" s="108" customFormat="1" ht="77.25" customHeight="1">
      <c r="A25" s="194" t="s">
        <v>171</v>
      </c>
      <c r="B25" s="194"/>
      <c r="C25" s="194"/>
      <c r="D25" s="194"/>
      <c r="E25" s="194"/>
      <c r="F25" s="194"/>
      <c r="G25" s="194"/>
      <c r="H25" s="136" t="s">
        <v>33</v>
      </c>
      <c r="I25" s="198"/>
      <c r="J25" s="198"/>
      <c r="K25" s="198"/>
      <c r="L25" s="107"/>
      <c r="M25" s="107"/>
      <c r="N25" s="107"/>
    </row>
    <row r="26" spans="1:14" s="108" customFormat="1" ht="14.25">
      <c r="A26" s="107"/>
      <c r="B26" s="107"/>
      <c r="C26" s="107"/>
      <c r="D26" s="107"/>
      <c r="E26" s="107"/>
      <c r="F26" s="107"/>
      <c r="G26" s="107"/>
      <c r="H26" s="107"/>
      <c r="I26" s="107"/>
      <c r="J26" s="107"/>
      <c r="K26" s="107"/>
      <c r="L26" s="54"/>
      <c r="M26" s="54"/>
      <c r="N26" s="54"/>
    </row>
    <row r="27" spans="1:14" s="108" customFormat="1" ht="15.75">
      <c r="A27" s="107"/>
      <c r="B27" s="107"/>
      <c r="C27" s="107"/>
      <c r="D27" s="107"/>
      <c r="E27" s="107"/>
      <c r="F27" s="195" t="s">
        <v>40</v>
      </c>
      <c r="G27" s="195"/>
      <c r="H27" s="94" t="str">
        <f>IF(H22="&lt;&lt; kies &gt;&gt;","?",IF(H23="&lt;&lt; kies &gt;&gt;","?",IF(H24="&lt;&lt; kies &gt;&gt;","?",IF(H25="&lt;&lt; kies &gt;&gt;","?",IF(AND(H22="Ja",H23="Ja",H24="Ja",H25="Ja"),"Pass","Fail")))))</f>
        <v>?</v>
      </c>
      <c r="I27" s="107"/>
      <c r="J27" s="107"/>
      <c r="K27" s="107"/>
      <c r="L27" s="54"/>
      <c r="M27" s="54"/>
      <c r="N27" s="54"/>
    </row>
    <row r="28" spans="1:14" s="108" customFormat="1" ht="14.25">
      <c r="A28" s="107"/>
      <c r="B28" s="107"/>
      <c r="C28" s="107"/>
      <c r="D28" s="107"/>
      <c r="E28" s="107"/>
      <c r="F28" s="107"/>
      <c r="G28" s="107"/>
      <c r="H28" s="107"/>
      <c r="I28" s="107"/>
      <c r="J28" s="107"/>
      <c r="K28" s="107"/>
      <c r="L28" s="54"/>
      <c r="M28" s="54"/>
      <c r="N28" s="54"/>
    </row>
    <row r="29" spans="1:14" s="108" customFormat="1" ht="12.75" customHeight="1">
      <c r="A29" s="196" t="s">
        <v>105</v>
      </c>
      <c r="B29" s="196"/>
      <c r="C29" s="196"/>
      <c r="D29" s="196"/>
      <c r="E29" s="196"/>
      <c r="F29" s="196"/>
      <c r="G29" s="196"/>
      <c r="H29" s="196"/>
      <c r="I29" s="196"/>
      <c r="J29" s="196"/>
      <c r="K29" s="196"/>
      <c r="L29" s="54"/>
      <c r="M29" s="54"/>
      <c r="N29" s="54"/>
    </row>
    <row r="30" spans="1:14" s="108" customFormat="1" ht="12.75" customHeight="1">
      <c r="A30" s="107" t="s">
        <v>30</v>
      </c>
      <c r="B30" s="107"/>
      <c r="C30" s="107"/>
      <c r="D30" s="54"/>
      <c r="E30" s="54"/>
      <c r="F30" s="54"/>
      <c r="G30" s="54"/>
      <c r="H30" s="55" t="s">
        <v>24</v>
      </c>
      <c r="I30" s="200" t="s">
        <v>126</v>
      </c>
      <c r="J30" s="200"/>
      <c r="K30" s="200"/>
      <c r="L30" s="107"/>
      <c r="M30" s="107"/>
      <c r="N30" s="107"/>
    </row>
    <row r="31" spans="1:14" s="125" customFormat="1" ht="33" customHeight="1">
      <c r="A31" s="193" t="s">
        <v>106</v>
      </c>
      <c r="B31" s="193"/>
      <c r="C31" s="193"/>
      <c r="D31" s="193"/>
      <c r="E31" s="193"/>
      <c r="F31" s="193"/>
      <c r="G31" s="193"/>
      <c r="H31" s="135" t="s">
        <v>33</v>
      </c>
      <c r="I31" s="197"/>
      <c r="J31" s="197"/>
      <c r="K31" s="197"/>
      <c r="L31" s="107"/>
      <c r="M31" s="107"/>
      <c r="N31" s="107"/>
    </row>
    <row r="32" spans="1:14" s="125" customFormat="1" ht="33" customHeight="1">
      <c r="A32" s="194" t="s">
        <v>107</v>
      </c>
      <c r="B32" s="194"/>
      <c r="C32" s="194"/>
      <c r="D32" s="194"/>
      <c r="E32" s="194"/>
      <c r="F32" s="194"/>
      <c r="G32" s="194"/>
      <c r="H32" s="136" t="s">
        <v>33</v>
      </c>
      <c r="I32" s="198"/>
      <c r="J32" s="198"/>
      <c r="K32" s="198"/>
      <c r="L32" s="107"/>
      <c r="M32" s="107"/>
      <c r="N32" s="107"/>
    </row>
    <row r="33" spans="1:14" s="125" customFormat="1" ht="54" customHeight="1">
      <c r="A33" s="193" t="s">
        <v>108</v>
      </c>
      <c r="B33" s="193"/>
      <c r="C33" s="193"/>
      <c r="D33" s="193"/>
      <c r="E33" s="193"/>
      <c r="F33" s="193"/>
      <c r="G33" s="193"/>
      <c r="H33" s="135" t="s">
        <v>33</v>
      </c>
      <c r="I33" s="197"/>
      <c r="J33" s="197"/>
      <c r="K33" s="197"/>
      <c r="L33" s="107"/>
      <c r="M33" s="107"/>
      <c r="N33" s="107"/>
    </row>
    <row r="34" spans="1:14" s="125" customFormat="1" ht="33" customHeight="1">
      <c r="A34" s="194" t="s">
        <v>109</v>
      </c>
      <c r="B34" s="194"/>
      <c r="C34" s="194"/>
      <c r="D34" s="194"/>
      <c r="E34" s="194"/>
      <c r="F34" s="194"/>
      <c r="G34" s="194"/>
      <c r="H34" s="136" t="s">
        <v>33</v>
      </c>
      <c r="I34" s="199"/>
      <c r="J34" s="199"/>
      <c r="K34" s="199"/>
      <c r="L34" s="159"/>
      <c r="M34" s="159"/>
      <c r="N34" s="159"/>
    </row>
    <row r="35" spans="1:14" s="108" customFormat="1" ht="14.25">
      <c r="A35" s="107"/>
      <c r="B35" s="107"/>
      <c r="C35" s="107"/>
      <c r="D35" s="107"/>
      <c r="E35" s="107"/>
      <c r="F35" s="107"/>
      <c r="G35" s="107"/>
      <c r="H35" s="107"/>
      <c r="I35" s="107"/>
      <c r="J35" s="107"/>
      <c r="K35" s="107"/>
      <c r="L35" s="54"/>
      <c r="M35" s="54"/>
      <c r="N35" s="54"/>
    </row>
    <row r="36" spans="1:14" s="108" customFormat="1" ht="15.75">
      <c r="A36" s="107"/>
      <c r="B36" s="107"/>
      <c r="C36" s="107"/>
      <c r="D36" s="107"/>
      <c r="E36" s="107"/>
      <c r="F36" s="195" t="s">
        <v>40</v>
      </c>
      <c r="G36" s="195"/>
      <c r="H36" s="94" t="str">
        <f>IF(H31="&lt;&lt; kies &gt;&gt;","?",IF(H32="&lt;&lt; kies &gt;&gt;","?",IF(H33="&lt;&lt; kies &gt;&gt;","?",IF(H34="&lt;&lt; kies &gt;&gt;","?",IF(AND(H31="Ja",H32="Ja",H33="Ja",H34="Ja"),"Pass","Fail")))))</f>
        <v>?</v>
      </c>
      <c r="I36" s="107"/>
      <c r="J36" s="107"/>
      <c r="K36" s="107"/>
      <c r="L36" s="54"/>
      <c r="M36" s="54"/>
      <c r="N36" s="54"/>
    </row>
  </sheetData>
  <mergeCells count="39">
    <mergeCell ref="A13:G13"/>
    <mergeCell ref="A14:G14"/>
    <mergeCell ref="A15:G15"/>
    <mergeCell ref="I3:J4"/>
    <mergeCell ref="C4:D4"/>
    <mergeCell ref="I5:J6"/>
    <mergeCell ref="A6:B6"/>
    <mergeCell ref="A10:K10"/>
    <mergeCell ref="A12:G12"/>
    <mergeCell ref="I11:K11"/>
    <mergeCell ref="I12:K12"/>
    <mergeCell ref="I14:K14"/>
    <mergeCell ref="I13:K13"/>
    <mergeCell ref="I15:K15"/>
    <mergeCell ref="A23:G23"/>
    <mergeCell ref="A24:G24"/>
    <mergeCell ref="A25:G25"/>
    <mergeCell ref="A16:G16"/>
    <mergeCell ref="F18:G18"/>
    <mergeCell ref="A20:K20"/>
    <mergeCell ref="A22:G22"/>
    <mergeCell ref="I16:K16"/>
    <mergeCell ref="I22:K22"/>
    <mergeCell ref="I24:K24"/>
    <mergeCell ref="I23:K23"/>
    <mergeCell ref="I25:K25"/>
    <mergeCell ref="I21:K21"/>
    <mergeCell ref="A33:G33"/>
    <mergeCell ref="A34:G34"/>
    <mergeCell ref="F36:G36"/>
    <mergeCell ref="F27:G27"/>
    <mergeCell ref="A29:K29"/>
    <mergeCell ref="A31:G31"/>
    <mergeCell ref="A32:G32"/>
    <mergeCell ref="I31:K31"/>
    <mergeCell ref="I33:K33"/>
    <mergeCell ref="I32:K32"/>
    <mergeCell ref="I34:K34"/>
    <mergeCell ref="I30:K30"/>
  </mergeCells>
  <conditionalFormatting sqref="I5:J6">
    <cfRule type="containsText" dxfId="143" priority="23" operator="containsText" text="Pass">
      <formula>NOT(ISERROR(SEARCH("Pass",I5)))</formula>
    </cfRule>
    <cfRule type="containsText" dxfId="142" priority="24" operator="containsText" text="Fail">
      <formula>NOT(ISERROR(SEARCH("Fail",I5)))</formula>
    </cfRule>
  </conditionalFormatting>
  <conditionalFormatting sqref="H12 H14 H22 H24 H31 H33">
    <cfRule type="cellIs" dxfId="141" priority="9" stopIfTrue="1" operator="equal">
      <formula>"Nee"</formula>
    </cfRule>
    <cfRule type="cellIs" dxfId="140" priority="10" stopIfTrue="1" operator="equal">
      <formula>"Ja"</formula>
    </cfRule>
  </conditionalFormatting>
  <conditionalFormatting sqref="H13 H15 H34 H23 H32 H25">
    <cfRule type="cellIs" dxfId="139" priority="11" stopIfTrue="1" operator="equal">
      <formula>"Nee"</formula>
    </cfRule>
    <cfRule type="cellIs" dxfId="138" priority="12" stopIfTrue="1" operator="equal">
      <formula>"Ja"</formula>
    </cfRule>
  </conditionalFormatting>
  <conditionalFormatting sqref="H36">
    <cfRule type="cellIs" dxfId="137" priority="7" stopIfTrue="1" operator="equal">
      <formula>"Fail"</formula>
    </cfRule>
    <cfRule type="cellIs" dxfId="136" priority="8" stopIfTrue="1" operator="equal">
      <formula>"Pass"</formula>
    </cfRule>
  </conditionalFormatting>
  <conditionalFormatting sqref="H27">
    <cfRule type="cellIs" dxfId="135" priority="5" stopIfTrue="1" operator="equal">
      <formula>"Fail"</formula>
    </cfRule>
    <cfRule type="cellIs" dxfId="134" priority="6" stopIfTrue="1" operator="equal">
      <formula>"Pass"</formula>
    </cfRule>
  </conditionalFormatting>
  <conditionalFormatting sqref="H18">
    <cfRule type="cellIs" dxfId="133" priority="3" stopIfTrue="1" operator="equal">
      <formula>"Fail"</formula>
    </cfRule>
    <cfRule type="cellIs" dxfId="132" priority="4" stopIfTrue="1" operator="equal">
      <formula>"Pass"</formula>
    </cfRule>
  </conditionalFormatting>
  <conditionalFormatting sqref="H16">
    <cfRule type="cellIs" dxfId="131" priority="1" stopIfTrue="1" operator="equal">
      <formula>"Nee"</formula>
    </cfRule>
    <cfRule type="cellIs" dxfId="130" priority="2" stopIfTrue="1" operator="equal">
      <formula>"Ja"</formula>
    </cfRule>
  </conditionalFormatting>
  <dataValidations count="2">
    <dataValidation type="list" allowBlank="1" showInputMessage="1" showErrorMessage="1" sqref="H31:H34 H22:H25 H12:H16">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6"/>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162</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IF(H18="?","?",IF(H27="?","?",IF(H36="?","?",IF(AND(H18="Pass",H27="Pass",H36="Pass"),"Pass","Fail"))))</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80</v>
      </c>
      <c r="I6" s="207"/>
      <c r="J6" s="208"/>
    </row>
    <row r="8" spans="1:251" s="4" customFormat="1" ht="18" customHeight="1">
      <c r="A8" s="19" t="s">
        <v>41</v>
      </c>
      <c r="B8" s="20"/>
      <c r="C8" s="20"/>
      <c r="D8" s="20"/>
      <c r="E8" s="20"/>
      <c r="F8" s="20"/>
      <c r="G8" s="20"/>
      <c r="H8" s="21"/>
      <c r="I8" s="21"/>
      <c r="J8" s="21"/>
      <c r="K8" s="2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row>
    <row r="10" spans="1:251" s="108" customFormat="1" ht="12.75" customHeight="1">
      <c r="A10" s="196" t="s">
        <v>95</v>
      </c>
      <c r="B10" s="196"/>
      <c r="C10" s="196"/>
      <c r="D10" s="196"/>
      <c r="E10" s="196"/>
      <c r="F10" s="196"/>
      <c r="G10" s="196"/>
      <c r="H10" s="196"/>
      <c r="I10" s="196"/>
      <c r="J10" s="196"/>
      <c r="K10" s="196"/>
      <c r="L10" s="54"/>
      <c r="M10" s="54"/>
      <c r="N10" s="54"/>
    </row>
    <row r="11" spans="1:251" s="108" customFormat="1" ht="12.75" customHeight="1">
      <c r="A11" s="179" t="s">
        <v>30</v>
      </c>
      <c r="B11" s="179"/>
      <c r="C11" s="179"/>
      <c r="D11" s="54"/>
      <c r="E11" s="54"/>
      <c r="F11" s="54"/>
      <c r="G11" s="54"/>
      <c r="H11" s="55" t="s">
        <v>24</v>
      </c>
      <c r="I11" s="200" t="s">
        <v>126</v>
      </c>
      <c r="J11" s="200"/>
      <c r="K11" s="200"/>
      <c r="L11" s="54"/>
      <c r="M11" s="54"/>
      <c r="N11" s="54"/>
    </row>
    <row r="12" spans="1:251" s="108" customFormat="1" ht="27.75" customHeight="1">
      <c r="A12" s="193" t="s">
        <v>96</v>
      </c>
      <c r="B12" s="193"/>
      <c r="C12" s="193"/>
      <c r="D12" s="193"/>
      <c r="E12" s="193"/>
      <c r="F12" s="193"/>
      <c r="G12" s="193"/>
      <c r="H12" s="135" t="s">
        <v>33</v>
      </c>
      <c r="I12" s="197"/>
      <c r="J12" s="197"/>
      <c r="K12" s="197"/>
      <c r="L12" s="54"/>
      <c r="M12" s="54"/>
      <c r="N12" s="54"/>
    </row>
    <row r="13" spans="1:251" s="108" customFormat="1" ht="30.75" customHeight="1">
      <c r="A13" s="194" t="s">
        <v>97</v>
      </c>
      <c r="B13" s="194"/>
      <c r="C13" s="194"/>
      <c r="D13" s="194"/>
      <c r="E13" s="194"/>
      <c r="F13" s="194"/>
      <c r="G13" s="194"/>
      <c r="H13" s="136" t="s">
        <v>33</v>
      </c>
      <c r="I13" s="198"/>
      <c r="J13" s="198"/>
      <c r="K13" s="198"/>
      <c r="L13" s="54"/>
      <c r="M13" s="54"/>
      <c r="N13" s="54"/>
    </row>
    <row r="14" spans="1:251" s="108" customFormat="1" ht="30.75" customHeight="1">
      <c r="A14" s="193" t="s">
        <v>98</v>
      </c>
      <c r="B14" s="193"/>
      <c r="C14" s="193"/>
      <c r="D14" s="193"/>
      <c r="E14" s="193"/>
      <c r="F14" s="193"/>
      <c r="G14" s="193"/>
      <c r="H14" s="135" t="s">
        <v>33</v>
      </c>
      <c r="I14" s="197"/>
      <c r="J14" s="197"/>
      <c r="K14" s="197"/>
      <c r="L14" s="54"/>
      <c r="M14" s="54"/>
      <c r="N14" s="54"/>
    </row>
    <row r="15" spans="1:251" s="108" customFormat="1" ht="41.1" customHeight="1">
      <c r="A15" s="194" t="s">
        <v>99</v>
      </c>
      <c r="B15" s="194"/>
      <c r="C15" s="194"/>
      <c r="D15" s="194"/>
      <c r="E15" s="194"/>
      <c r="F15" s="194"/>
      <c r="G15" s="194"/>
      <c r="H15" s="136" t="s">
        <v>33</v>
      </c>
      <c r="I15" s="198"/>
      <c r="J15" s="198"/>
      <c r="K15" s="198"/>
      <c r="L15" s="54"/>
      <c r="M15" s="54"/>
      <c r="N15" s="54"/>
    </row>
    <row r="16" spans="1:251" s="108" customFormat="1" ht="17.100000000000001" customHeight="1">
      <c r="A16" s="193" t="s">
        <v>100</v>
      </c>
      <c r="B16" s="193"/>
      <c r="C16" s="193"/>
      <c r="D16" s="193"/>
      <c r="E16" s="193"/>
      <c r="F16" s="193"/>
      <c r="G16" s="193"/>
      <c r="H16" s="135" t="s">
        <v>33</v>
      </c>
      <c r="I16" s="197"/>
      <c r="J16" s="197"/>
      <c r="K16" s="197"/>
      <c r="L16" s="54"/>
      <c r="M16" s="54"/>
      <c r="N16" s="54"/>
    </row>
    <row r="17" spans="1:14" s="108" customFormat="1" ht="14.25">
      <c r="A17" s="179"/>
      <c r="B17" s="179"/>
      <c r="C17" s="179"/>
      <c r="D17" s="179"/>
      <c r="E17" s="179"/>
      <c r="F17" s="179"/>
      <c r="G17" s="179"/>
      <c r="H17" s="179"/>
      <c r="I17" s="179"/>
      <c r="J17" s="179"/>
      <c r="K17" s="179"/>
      <c r="L17" s="54"/>
      <c r="M17" s="54"/>
      <c r="N17" s="54"/>
    </row>
    <row r="18" spans="1:14" s="108" customFormat="1" ht="15.75">
      <c r="A18" s="179"/>
      <c r="B18" s="179"/>
      <c r="C18" s="179"/>
      <c r="D18" s="179"/>
      <c r="E18" s="179"/>
      <c r="F18" s="195" t="s">
        <v>40</v>
      </c>
      <c r="G18" s="195"/>
      <c r="H18" s="94" t="str">
        <f>IF(H12="&lt;&lt; kies &gt;&gt;","?",IF(H13="&lt;&lt; kies &gt;&gt;","?",IF(H14="&lt;&lt; kies &gt;&gt;","?",IF(H15="&lt;&lt; kies &gt;&gt;","?",IF(H16="&lt;&lt; kies &gt;&gt;","?",IF(AND(H12="Ja",H13="Ja",H14="Ja",H15="Ja",H16="Ja"),"Pass","Fail"))))))</f>
        <v>?</v>
      </c>
      <c r="I18" s="179"/>
      <c r="J18" s="179"/>
      <c r="K18" s="179"/>
      <c r="L18" s="54"/>
      <c r="M18" s="54"/>
      <c r="N18" s="54"/>
    </row>
    <row r="19" spans="1:14" s="108" customFormat="1" ht="14.25">
      <c r="A19" s="179"/>
      <c r="B19" s="179"/>
      <c r="C19" s="179"/>
      <c r="D19" s="179"/>
      <c r="E19" s="179"/>
      <c r="F19" s="179"/>
      <c r="G19" s="179"/>
      <c r="H19" s="179"/>
      <c r="I19" s="179"/>
      <c r="J19" s="179"/>
      <c r="K19" s="179"/>
      <c r="L19" s="54"/>
      <c r="M19" s="54"/>
      <c r="N19" s="54"/>
    </row>
    <row r="20" spans="1:14" s="108" customFormat="1" ht="12.75" customHeight="1">
      <c r="A20" s="196" t="s">
        <v>101</v>
      </c>
      <c r="B20" s="196"/>
      <c r="C20" s="196"/>
      <c r="D20" s="196"/>
      <c r="E20" s="196"/>
      <c r="F20" s="196"/>
      <c r="G20" s="196"/>
      <c r="H20" s="196"/>
      <c r="I20" s="196"/>
      <c r="J20" s="196"/>
      <c r="K20" s="196"/>
      <c r="L20" s="54"/>
      <c r="M20" s="54"/>
      <c r="N20" s="54"/>
    </row>
    <row r="21" spans="1:14" s="108" customFormat="1" ht="12.75" customHeight="1">
      <c r="A21" s="179" t="s">
        <v>30</v>
      </c>
      <c r="B21" s="179"/>
      <c r="C21" s="179"/>
      <c r="D21" s="54"/>
      <c r="E21" s="54"/>
      <c r="F21" s="54"/>
      <c r="G21" s="54"/>
      <c r="H21" s="55" t="s">
        <v>24</v>
      </c>
      <c r="I21" s="200" t="s">
        <v>126</v>
      </c>
      <c r="J21" s="200"/>
      <c r="K21" s="200"/>
      <c r="L21" s="179"/>
      <c r="M21" s="179"/>
      <c r="N21" s="179"/>
    </row>
    <row r="22" spans="1:14" s="108" customFormat="1" ht="27.75" customHeight="1">
      <c r="A22" s="193" t="s">
        <v>102</v>
      </c>
      <c r="B22" s="193"/>
      <c r="C22" s="193"/>
      <c r="D22" s="193"/>
      <c r="E22" s="193"/>
      <c r="F22" s="193"/>
      <c r="G22" s="193"/>
      <c r="H22" s="135" t="s">
        <v>33</v>
      </c>
      <c r="I22" s="197"/>
      <c r="J22" s="197"/>
      <c r="K22" s="197"/>
      <c r="L22" s="179"/>
      <c r="M22" s="179"/>
      <c r="N22" s="179"/>
    </row>
    <row r="23" spans="1:14" s="108" customFormat="1" ht="48.75" customHeight="1">
      <c r="A23" s="194" t="s">
        <v>103</v>
      </c>
      <c r="B23" s="194"/>
      <c r="C23" s="194"/>
      <c r="D23" s="194"/>
      <c r="E23" s="194"/>
      <c r="F23" s="194"/>
      <c r="G23" s="194"/>
      <c r="H23" s="136" t="s">
        <v>33</v>
      </c>
      <c r="I23" s="198"/>
      <c r="J23" s="198"/>
      <c r="K23" s="198"/>
      <c r="L23" s="179"/>
      <c r="M23" s="179"/>
      <c r="N23" s="179"/>
    </row>
    <row r="24" spans="1:14" s="108" customFormat="1" ht="30.75" customHeight="1">
      <c r="A24" s="193" t="s">
        <v>104</v>
      </c>
      <c r="B24" s="193"/>
      <c r="C24" s="193"/>
      <c r="D24" s="193"/>
      <c r="E24" s="193"/>
      <c r="F24" s="193"/>
      <c r="G24" s="193"/>
      <c r="H24" s="135" t="s">
        <v>33</v>
      </c>
      <c r="I24" s="197"/>
      <c r="J24" s="197"/>
      <c r="K24" s="197"/>
      <c r="L24" s="179"/>
      <c r="M24" s="179"/>
      <c r="N24" s="179"/>
    </row>
    <row r="25" spans="1:14" s="108" customFormat="1" ht="77.25" customHeight="1">
      <c r="A25" s="194" t="s">
        <v>171</v>
      </c>
      <c r="B25" s="194"/>
      <c r="C25" s="194"/>
      <c r="D25" s="194"/>
      <c r="E25" s="194"/>
      <c r="F25" s="194"/>
      <c r="G25" s="194"/>
      <c r="H25" s="136" t="s">
        <v>33</v>
      </c>
      <c r="I25" s="198"/>
      <c r="J25" s="198"/>
      <c r="K25" s="198"/>
      <c r="L25" s="183"/>
      <c r="M25" s="183"/>
      <c r="N25" s="183"/>
    </row>
    <row r="26" spans="1:14" s="108" customFormat="1" ht="14.25">
      <c r="A26" s="179"/>
      <c r="B26" s="179"/>
      <c r="C26" s="179"/>
      <c r="D26" s="179"/>
      <c r="E26" s="179"/>
      <c r="F26" s="179"/>
      <c r="G26" s="179"/>
      <c r="H26" s="179"/>
      <c r="I26" s="179"/>
      <c r="J26" s="179"/>
      <c r="K26" s="179"/>
      <c r="L26" s="54"/>
      <c r="M26" s="54"/>
      <c r="N26" s="54"/>
    </row>
    <row r="27" spans="1:14" s="108" customFormat="1" ht="15.75">
      <c r="A27" s="179"/>
      <c r="B27" s="179"/>
      <c r="C27" s="179"/>
      <c r="D27" s="179"/>
      <c r="E27" s="179"/>
      <c r="F27" s="195" t="s">
        <v>40</v>
      </c>
      <c r="G27" s="195"/>
      <c r="H27" s="94" t="str">
        <f>IF(H22="&lt;&lt; kies &gt;&gt;","?",IF(H23="&lt;&lt; kies &gt;&gt;","?",IF(H24="&lt;&lt; kies &gt;&gt;","?",IF(H25="&lt;&lt; kies &gt;&gt;","?",IF(AND(H22="Ja",H23="Ja",H24="Ja",H25="Ja"),"Pass","Fail")))))</f>
        <v>?</v>
      </c>
      <c r="I27" s="179"/>
      <c r="J27" s="179"/>
      <c r="K27" s="179"/>
      <c r="L27" s="54"/>
      <c r="M27" s="54"/>
      <c r="N27" s="54"/>
    </row>
    <row r="28" spans="1:14" s="108" customFormat="1" ht="14.25">
      <c r="A28" s="179"/>
      <c r="B28" s="179"/>
      <c r="C28" s="179"/>
      <c r="D28" s="179"/>
      <c r="E28" s="179"/>
      <c r="F28" s="179"/>
      <c r="G28" s="179"/>
      <c r="H28" s="179"/>
      <c r="I28" s="179"/>
      <c r="J28" s="179"/>
      <c r="K28" s="179"/>
      <c r="L28" s="54"/>
      <c r="M28" s="54"/>
      <c r="N28" s="54"/>
    </row>
    <row r="29" spans="1:14" s="108" customFormat="1" ht="12.75" customHeight="1">
      <c r="A29" s="196" t="s">
        <v>105</v>
      </c>
      <c r="B29" s="196"/>
      <c r="C29" s="196"/>
      <c r="D29" s="196"/>
      <c r="E29" s="196"/>
      <c r="F29" s="196"/>
      <c r="G29" s="196"/>
      <c r="H29" s="196"/>
      <c r="I29" s="196"/>
      <c r="J29" s="196"/>
      <c r="K29" s="196"/>
      <c r="L29" s="54"/>
      <c r="M29" s="54"/>
      <c r="N29" s="54"/>
    </row>
    <row r="30" spans="1:14" s="108" customFormat="1" ht="12.75" customHeight="1">
      <c r="A30" s="179" t="s">
        <v>30</v>
      </c>
      <c r="B30" s="179"/>
      <c r="C30" s="179"/>
      <c r="D30" s="54"/>
      <c r="E30" s="54"/>
      <c r="F30" s="54"/>
      <c r="G30" s="54"/>
      <c r="H30" s="55" t="s">
        <v>24</v>
      </c>
      <c r="I30" s="200" t="s">
        <v>126</v>
      </c>
      <c r="J30" s="200"/>
      <c r="K30" s="200"/>
      <c r="L30" s="179"/>
      <c r="M30" s="179"/>
      <c r="N30" s="179"/>
    </row>
    <row r="31" spans="1:14" s="125" customFormat="1" ht="33" customHeight="1">
      <c r="A31" s="193" t="s">
        <v>106</v>
      </c>
      <c r="B31" s="193"/>
      <c r="C31" s="193"/>
      <c r="D31" s="193"/>
      <c r="E31" s="193"/>
      <c r="F31" s="193"/>
      <c r="G31" s="193"/>
      <c r="H31" s="135" t="s">
        <v>33</v>
      </c>
      <c r="I31" s="197"/>
      <c r="J31" s="197"/>
      <c r="K31" s="197"/>
      <c r="L31" s="179"/>
      <c r="M31" s="179"/>
      <c r="N31" s="179"/>
    </row>
    <row r="32" spans="1:14" s="125" customFormat="1" ht="33" customHeight="1">
      <c r="A32" s="194" t="s">
        <v>107</v>
      </c>
      <c r="B32" s="194"/>
      <c r="C32" s="194"/>
      <c r="D32" s="194"/>
      <c r="E32" s="194"/>
      <c r="F32" s="194"/>
      <c r="G32" s="194"/>
      <c r="H32" s="136" t="s">
        <v>33</v>
      </c>
      <c r="I32" s="198"/>
      <c r="J32" s="198"/>
      <c r="K32" s="198"/>
      <c r="L32" s="179"/>
      <c r="M32" s="179"/>
      <c r="N32" s="179"/>
    </row>
    <row r="33" spans="1:14" s="125" customFormat="1" ht="54" customHeight="1">
      <c r="A33" s="193" t="s">
        <v>108</v>
      </c>
      <c r="B33" s="193"/>
      <c r="C33" s="193"/>
      <c r="D33" s="193"/>
      <c r="E33" s="193"/>
      <c r="F33" s="193"/>
      <c r="G33" s="193"/>
      <c r="H33" s="135" t="s">
        <v>33</v>
      </c>
      <c r="I33" s="197"/>
      <c r="J33" s="197"/>
      <c r="K33" s="197"/>
      <c r="L33" s="179"/>
      <c r="M33" s="179"/>
      <c r="N33" s="179"/>
    </row>
    <row r="34" spans="1:14" s="125" customFormat="1" ht="33" customHeight="1">
      <c r="A34" s="194" t="s">
        <v>109</v>
      </c>
      <c r="B34" s="194"/>
      <c r="C34" s="194"/>
      <c r="D34" s="194"/>
      <c r="E34" s="194"/>
      <c r="F34" s="194"/>
      <c r="G34" s="194"/>
      <c r="H34" s="136" t="s">
        <v>33</v>
      </c>
      <c r="I34" s="199"/>
      <c r="J34" s="199"/>
      <c r="K34" s="199"/>
      <c r="L34" s="159"/>
      <c r="M34" s="159"/>
      <c r="N34" s="159"/>
    </row>
    <row r="35" spans="1:14" s="108" customFormat="1" ht="14.25">
      <c r="A35" s="179"/>
      <c r="B35" s="179"/>
      <c r="C35" s="179"/>
      <c r="D35" s="179"/>
      <c r="E35" s="179"/>
      <c r="F35" s="179"/>
      <c r="G35" s="179"/>
      <c r="H35" s="179"/>
      <c r="I35" s="179"/>
      <c r="J35" s="179"/>
      <c r="K35" s="179"/>
      <c r="L35" s="54"/>
      <c r="M35" s="54"/>
      <c r="N35" s="54"/>
    </row>
    <row r="36" spans="1:14" s="108" customFormat="1" ht="15.75">
      <c r="A36" s="179"/>
      <c r="B36" s="179"/>
      <c r="C36" s="179"/>
      <c r="D36" s="179"/>
      <c r="E36" s="179"/>
      <c r="F36" s="195" t="s">
        <v>40</v>
      </c>
      <c r="G36" s="195"/>
      <c r="H36" s="94" t="str">
        <f>IF(H31="&lt;&lt; kies &gt;&gt;","?",IF(H32="&lt;&lt; kies &gt;&gt;","?",IF(H33="&lt;&lt; kies &gt;&gt;","?",IF(H34="&lt;&lt; kies &gt;&gt;","?",IF(AND(H31="Ja",H32="Ja",H33="Ja",H34="Ja"),"Pass","Fail")))))</f>
        <v>?</v>
      </c>
      <c r="I36" s="179"/>
      <c r="J36" s="179"/>
      <c r="K36" s="179"/>
      <c r="L36" s="54"/>
      <c r="M36" s="54"/>
      <c r="N36" s="54"/>
    </row>
  </sheetData>
  <mergeCells count="39">
    <mergeCell ref="F36:G36"/>
    <mergeCell ref="A32:G32"/>
    <mergeCell ref="I32:K32"/>
    <mergeCell ref="A33:G33"/>
    <mergeCell ref="I33:K33"/>
    <mergeCell ref="A34:G34"/>
    <mergeCell ref="I34:K34"/>
    <mergeCell ref="A31:G31"/>
    <mergeCell ref="I31:K31"/>
    <mergeCell ref="I21:K21"/>
    <mergeCell ref="A22:G22"/>
    <mergeCell ref="I22:K22"/>
    <mergeCell ref="A23:G23"/>
    <mergeCell ref="I23:K23"/>
    <mergeCell ref="A24:G24"/>
    <mergeCell ref="I24:K24"/>
    <mergeCell ref="A25:G25"/>
    <mergeCell ref="I25:K25"/>
    <mergeCell ref="F27:G27"/>
    <mergeCell ref="A29:K29"/>
    <mergeCell ref="I30:K30"/>
    <mergeCell ref="A20:K20"/>
    <mergeCell ref="A12:G12"/>
    <mergeCell ref="I12:K12"/>
    <mergeCell ref="A13:G13"/>
    <mergeCell ref="I13:K13"/>
    <mergeCell ref="A14:G14"/>
    <mergeCell ref="I14:K14"/>
    <mergeCell ref="A15:G15"/>
    <mergeCell ref="I15:K15"/>
    <mergeCell ref="A16:G16"/>
    <mergeCell ref="I16:K16"/>
    <mergeCell ref="F18:G18"/>
    <mergeCell ref="I11:K11"/>
    <mergeCell ref="I3:J4"/>
    <mergeCell ref="C4:D4"/>
    <mergeCell ref="I5:J6"/>
    <mergeCell ref="A6:B6"/>
    <mergeCell ref="A10:K10"/>
  </mergeCells>
  <conditionalFormatting sqref="I5:J6">
    <cfRule type="containsText" dxfId="129" priority="15" operator="containsText" text="Pass">
      <formula>NOT(ISERROR(SEARCH("Pass",I5)))</formula>
    </cfRule>
    <cfRule type="containsText" dxfId="128" priority="16" operator="containsText" text="Fail">
      <formula>NOT(ISERROR(SEARCH("Fail",I5)))</formula>
    </cfRule>
  </conditionalFormatting>
  <conditionalFormatting sqref="H12 H14 H22 H24 H31 H33">
    <cfRule type="cellIs" dxfId="127" priority="11" stopIfTrue="1" operator="equal">
      <formula>"Nee"</formula>
    </cfRule>
    <cfRule type="cellIs" dxfId="126" priority="12" stopIfTrue="1" operator="equal">
      <formula>"Ja"</formula>
    </cfRule>
  </conditionalFormatting>
  <conditionalFormatting sqref="H13 H15 H34 H23 H32 H25">
    <cfRule type="cellIs" dxfId="125" priority="13" stopIfTrue="1" operator="equal">
      <formula>"Nee"</formula>
    </cfRule>
    <cfRule type="cellIs" dxfId="124" priority="14" stopIfTrue="1" operator="equal">
      <formula>"Ja"</formula>
    </cfRule>
  </conditionalFormatting>
  <conditionalFormatting sqref="H36">
    <cfRule type="cellIs" dxfId="123" priority="9" stopIfTrue="1" operator="equal">
      <formula>"Fail"</formula>
    </cfRule>
    <cfRule type="cellIs" dxfId="122" priority="10" stopIfTrue="1" operator="equal">
      <formula>"Pass"</formula>
    </cfRule>
  </conditionalFormatting>
  <conditionalFormatting sqref="H27">
    <cfRule type="cellIs" dxfId="121" priority="7" stopIfTrue="1" operator="equal">
      <formula>"Fail"</formula>
    </cfRule>
    <cfRule type="cellIs" dxfId="120" priority="8" stopIfTrue="1" operator="equal">
      <formula>"Pass"</formula>
    </cfRule>
  </conditionalFormatting>
  <conditionalFormatting sqref="H18">
    <cfRule type="cellIs" dxfId="119" priority="5" stopIfTrue="1" operator="equal">
      <formula>"Fail"</formula>
    </cfRule>
    <cfRule type="cellIs" dxfId="118" priority="6" stopIfTrue="1" operator="equal">
      <formula>"Pass"</formula>
    </cfRule>
  </conditionalFormatting>
  <conditionalFormatting sqref="H16">
    <cfRule type="cellIs" dxfId="117" priority="3" stopIfTrue="1" operator="equal">
      <formula>"Nee"</formula>
    </cfRule>
    <cfRule type="cellIs" dxfId="116" priority="4" stopIfTrue="1" operator="equal">
      <formula>"Ja"</formula>
    </cfRule>
  </conditionalFormatting>
  <conditionalFormatting sqref="H25">
    <cfRule type="cellIs" dxfId="115" priority="1" stopIfTrue="1" operator="equal">
      <formula>"Nee"</formula>
    </cfRule>
    <cfRule type="cellIs" dxfId="114" priority="2" stopIfTrue="1" operator="equal">
      <formula>"Ja"</formula>
    </cfRule>
  </conditionalFormatting>
  <dataValidations count="2">
    <dataValidation type="list" allowBlank="1" showInputMessage="1" showErrorMessage="1" sqref="H31:H34 H12:H16 H22:H25">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3"/>
  <sheetViews>
    <sheetView workbookViewId="0">
      <selection activeCell="B19" sqref="B19"/>
    </sheetView>
  </sheetViews>
  <sheetFormatPr defaultColWidth="10.85546875" defaultRowHeight="12.75"/>
  <cols>
    <col min="1" max="1" width="13.85546875" style="61" customWidth="1"/>
    <col min="2" max="2" width="15.28515625" style="61" customWidth="1"/>
    <col min="3" max="3" width="16" style="61" customWidth="1"/>
    <col min="4" max="6" width="10.85546875" style="61"/>
    <col min="7" max="7" width="12.42578125" style="61" bestFit="1" customWidth="1"/>
    <col min="8" max="8" width="13.7109375" style="61" bestFit="1" customWidth="1"/>
    <col min="9" max="16384" width="10.85546875" style="61"/>
  </cols>
  <sheetData>
    <row r="1" spans="1:251" s="4" customFormat="1" ht="29.1" customHeight="1">
      <c r="A1" s="2" t="s">
        <v>123</v>
      </c>
      <c r="B1" s="3"/>
      <c r="C1" s="3"/>
      <c r="D1" s="3"/>
      <c r="E1" s="3"/>
      <c r="F1" s="3"/>
      <c r="G1" s="3"/>
      <c r="H1" s="3"/>
      <c r="I1" s="3"/>
      <c r="J1" s="3"/>
      <c r="K1" s="3"/>
    </row>
    <row r="2" spans="1:251" s="4" customFormat="1" ht="13.5" thickBot="1">
      <c r="A2" s="5"/>
    </row>
    <row r="3" spans="1:251" s="4" customFormat="1" ht="15.95" customHeight="1">
      <c r="A3" s="6" t="s">
        <v>20</v>
      </c>
      <c r="B3" s="7"/>
      <c r="C3" s="7"/>
      <c r="D3" s="7"/>
      <c r="H3" s="99" t="s">
        <v>24</v>
      </c>
      <c r="I3" s="100"/>
      <c r="J3" s="8"/>
      <c r="K3" s="9"/>
    </row>
    <row r="4" spans="1:251" s="4" customFormat="1" ht="12.95" customHeight="1">
      <c r="A4" s="10" t="s">
        <v>21</v>
      </c>
      <c r="B4" s="11"/>
      <c r="C4" s="190" t="s">
        <v>144</v>
      </c>
      <c r="D4" s="190"/>
      <c r="E4" s="11"/>
      <c r="F4" s="11"/>
      <c r="H4" s="101"/>
      <c r="I4" s="102"/>
      <c r="J4" s="12"/>
      <c r="K4" s="13"/>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H5" s="105" t="s">
        <v>22</v>
      </c>
      <c r="I5" s="106"/>
      <c r="J5" s="212" t="str">
        <f>B21</f>
        <v>?</v>
      </c>
      <c r="K5" s="213"/>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c r="A6" s="209" t="s">
        <v>112</v>
      </c>
      <c r="B6" s="209"/>
      <c r="C6" s="15">
        <f>IF(C4="Diagnostisch",350,IF(C4="Diagnostisch secundair",350,IF(C4="Review",180,IF(C4="Mammografie",420,10))))</f>
        <v>420</v>
      </c>
      <c r="H6" s="105" t="s">
        <v>23</v>
      </c>
      <c r="I6" s="106"/>
      <c r="J6" s="212" t="str">
        <f>C21</f>
        <v>?</v>
      </c>
      <c r="K6" s="213"/>
    </row>
    <row r="7" spans="1:251" ht="18.75" thickBot="1">
      <c r="A7" s="209"/>
      <c r="B7" s="209"/>
      <c r="C7" s="146"/>
      <c r="H7" s="103" t="s">
        <v>118</v>
      </c>
      <c r="I7" s="104"/>
      <c r="J7" s="210" t="str">
        <f>IF(AND(D15="",D16=""),"?",IF(OR(D15&gt;C10,D16&gt;C10),"Fail","Pass"))</f>
        <v>?</v>
      </c>
      <c r="K7" s="211"/>
    </row>
    <row r="8" spans="1:251">
      <c r="A8" s="209" t="s">
        <v>113</v>
      </c>
      <c r="B8" s="209"/>
      <c r="C8" s="148">
        <f>IF(C4="Diagnostisch",1,IF(C4="Diagnostisch secundair",1,IF(C4="Review","0,8",IF(C4="Mammografie",1.2,10))))</f>
        <v>1.2</v>
      </c>
    </row>
    <row r="9" spans="1:251">
      <c r="A9" s="209" t="s">
        <v>114</v>
      </c>
      <c r="B9" s="209"/>
      <c r="C9" s="147">
        <f>IF(C4="Diagnostisch",350,IF(C4="Diagnostisch secundair",350,IF(C4="Review",225,IF(C4="Mammografie",350,10))))</f>
        <v>350</v>
      </c>
    </row>
    <row r="10" spans="1:251">
      <c r="A10" s="98" t="s">
        <v>117</v>
      </c>
      <c r="B10" s="98"/>
      <c r="C10" s="147">
        <v>5</v>
      </c>
    </row>
    <row r="12" spans="1:251" s="4" customFormat="1" ht="18" customHeight="1">
      <c r="A12" s="19" t="s">
        <v>41</v>
      </c>
      <c r="B12" s="20"/>
      <c r="C12" s="20"/>
      <c r="D12" s="20"/>
      <c r="E12" s="20"/>
      <c r="F12" s="20"/>
      <c r="G12" s="20"/>
      <c r="H12" s="21"/>
      <c r="I12" s="21"/>
      <c r="J12" s="21"/>
      <c r="K12" s="2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P12" s="11"/>
      <c r="IQ12" s="11"/>
    </row>
    <row r="14" spans="1:251" customFormat="1" ht="15">
      <c r="A14" s="137"/>
      <c r="B14" s="138" t="s">
        <v>115</v>
      </c>
      <c r="C14" s="138" t="s">
        <v>116</v>
      </c>
      <c r="D14" s="145" t="s">
        <v>118</v>
      </c>
      <c r="E14" s="150"/>
      <c r="F14" s="150"/>
      <c r="G14" s="150"/>
      <c r="H14" s="150"/>
      <c r="I14" s="154"/>
      <c r="J14" s="154"/>
      <c r="K14" s="154"/>
      <c r="L14" s="150"/>
      <c r="M14" s="54"/>
      <c r="N14" s="54"/>
      <c r="O14" s="54"/>
      <c r="P14" s="54"/>
      <c r="Q14" s="54"/>
      <c r="R14" s="54"/>
      <c r="S14" s="4"/>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row>
    <row r="15" spans="1:251" customFormat="1" ht="15">
      <c r="A15" s="137" t="s">
        <v>119</v>
      </c>
      <c r="B15" s="157"/>
      <c r="C15" s="157"/>
      <c r="D15" s="156" t="str">
        <f>IF(B15=0,"",(ABS(B15-C15))/(0.5*(B15+C15))*100)</f>
        <v/>
      </c>
      <c r="E15" s="151"/>
      <c r="F15" s="151"/>
      <c r="G15" s="152"/>
      <c r="H15" s="150"/>
      <c r="I15" s="155"/>
      <c r="J15" s="153"/>
      <c r="K15" s="153"/>
      <c r="L15" s="150"/>
      <c r="M15" s="140"/>
      <c r="N15" s="140"/>
      <c r="O15" s="54"/>
      <c r="P15" s="54"/>
      <c r="Q15" s="54"/>
      <c r="R15" s="54"/>
      <c r="S15" s="4"/>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row>
    <row r="16" spans="1:251" customFormat="1" ht="15">
      <c r="A16" s="137" t="s">
        <v>120</v>
      </c>
      <c r="B16" s="157"/>
      <c r="C16" s="157"/>
      <c r="D16" s="156" t="str">
        <f>IF(B16=0,"",(ABS(B16-C16))/(0.5*(B16+C16))*100)</f>
        <v/>
      </c>
      <c r="E16" s="152"/>
      <c r="F16" s="152"/>
      <c r="G16" s="152"/>
      <c r="H16" s="150"/>
      <c r="I16" s="153"/>
      <c r="J16" s="153"/>
      <c r="K16" s="153"/>
      <c r="L16" s="150"/>
      <c r="M16" s="140"/>
      <c r="N16" s="140"/>
      <c r="O16" s="54"/>
      <c r="P16" s="54"/>
      <c r="Q16" s="54"/>
      <c r="R16" s="54"/>
      <c r="S16" s="4"/>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row>
    <row r="17" spans="1:75" customFormat="1" ht="15">
      <c r="A17" s="137" t="s">
        <v>121</v>
      </c>
      <c r="B17" s="157" t="str">
        <f>IF('§5.1 Omgevingslicht'!B16&gt;0,'§5.1 Omgevingslicht'!B16,IF('§5.1 Omgevingslicht'!D30&gt;0,'§5.1 Omgevingslicht'!D30,""))</f>
        <v/>
      </c>
      <c r="C17" s="157" t="str">
        <f>IF('§5.1 Omgevingslicht'!C16&gt;0,'§5.1 Omgevingslicht'!C16,IF('§5.1 Omgevingslicht'!I30&gt;0,'§5.1 Omgevingslicht'!I30,""))</f>
        <v/>
      </c>
      <c r="D17" s="137"/>
      <c r="E17" s="152"/>
      <c r="F17" s="152"/>
      <c r="G17" s="152"/>
      <c r="H17" s="150"/>
      <c r="I17" s="153"/>
      <c r="J17" s="153"/>
      <c r="K17" s="153"/>
      <c r="L17" s="150"/>
      <c r="M17" s="140"/>
      <c r="N17" s="140"/>
      <c r="O17" s="54"/>
      <c r="P17" s="54"/>
      <c r="Q17" s="54"/>
      <c r="R17" s="54"/>
      <c r="S17" s="4"/>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row>
    <row r="18" spans="1:75" customFormat="1" ht="15">
      <c r="A18" s="137" t="s">
        <v>122</v>
      </c>
      <c r="B18" s="157" t="str">
        <f>IF(B16&gt;0,SUM(B16:B17),"")</f>
        <v/>
      </c>
      <c r="C18" s="157" t="str">
        <f>IF(C16&gt;0,SUM(C16:C17),"")</f>
        <v/>
      </c>
      <c r="D18" s="137"/>
      <c r="E18" s="152"/>
      <c r="F18" s="152"/>
      <c r="G18" s="152"/>
      <c r="H18" s="150"/>
      <c r="I18" s="155"/>
      <c r="J18" s="153"/>
      <c r="K18" s="153"/>
      <c r="L18" s="150"/>
      <c r="M18" s="140"/>
      <c r="N18" s="140"/>
      <c r="O18" s="54"/>
      <c r="P18" s="54"/>
      <c r="Q18" s="54"/>
      <c r="R18" s="54"/>
      <c r="S18" s="4"/>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row>
    <row r="19" spans="1:75" customFormat="1" ht="15">
      <c r="A19" s="137" t="s">
        <v>110</v>
      </c>
      <c r="B19" s="158" t="str">
        <f>IF(B16&gt;0,B15/B18,"")</f>
        <v/>
      </c>
      <c r="C19" s="158" t="str">
        <f>IF(C16&gt;0,C15/C18,"")</f>
        <v/>
      </c>
      <c r="D19" s="142"/>
      <c r="E19" s="151"/>
      <c r="F19" s="151"/>
      <c r="G19" s="152"/>
      <c r="H19" s="150"/>
      <c r="I19" s="155"/>
      <c r="J19" s="153"/>
      <c r="K19" s="153"/>
      <c r="L19" s="150"/>
      <c r="M19" s="140"/>
      <c r="N19" s="140"/>
      <c r="O19" s="54"/>
      <c r="P19" s="54"/>
      <c r="Q19" s="54"/>
      <c r="R19" s="54"/>
      <c r="S19" s="4"/>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row>
    <row r="20" spans="1:75" customFormat="1" ht="14.25">
      <c r="A20" s="137"/>
      <c r="B20" s="139"/>
      <c r="C20" s="139"/>
      <c r="D20" s="137"/>
      <c r="E20" s="137"/>
      <c r="F20" s="137"/>
      <c r="G20" s="137"/>
      <c r="H20" s="137"/>
      <c r="I20" s="137"/>
      <c r="J20" s="137"/>
      <c r="K20" s="137"/>
      <c r="L20" s="137"/>
      <c r="M20" s="127"/>
      <c r="N20" s="54"/>
      <c r="O20" s="54"/>
      <c r="P20" s="54"/>
      <c r="Q20" s="54"/>
      <c r="R20" s="54"/>
      <c r="S20" s="4"/>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row>
    <row r="21" spans="1:75" customFormat="1" ht="15.75">
      <c r="A21" s="149" t="s">
        <v>111</v>
      </c>
      <c r="B21" s="94" t="str">
        <f>IF(AND(B15="",B18="",B19=""),"?",IF(EXACT(B15,"Diagnostisch primair"),IF(AND(B15&gt;=C6,B18&lt;=C8,B19&gt;=C9),"Pass","Fail"),IF(EXACT(B15,"Mammografie"),IF(AND(B15&gt;=C6,B18&lt;=C8,B19&gt;=C9),"Pass","Fail"),IF(AND(B15&gt;=C6,B18&lt;=C8,B19&gt;=C9),"Pass","Fail"))))</f>
        <v>?</v>
      </c>
      <c r="C21" s="94" t="str">
        <f>IF(AND(C15="",C18="",C19=""),"?",IF(EXACT(C15,"Diagnostisch primair"),IF(AND(C15&gt;=C6,C18&lt;=C8,C19&gt;=C9),"Pass","Fail"),IF(EXACT(C15,"Mammografie"),IF(AND(C15&gt;=C6,C18&lt;=C8,C19&gt;=C9),"Pass","Fail"),IF(AND(C15&gt;=C6,C18&lt;=C8,C19&gt;=C9),"Pass","Fail"))))</f>
        <v>?</v>
      </c>
      <c r="D21" s="61"/>
      <c r="E21" s="61"/>
      <c r="F21" s="61"/>
      <c r="G21" s="141"/>
      <c r="H21" s="141"/>
      <c r="I21" s="141"/>
      <c r="J21" s="141"/>
      <c r="K21" s="141"/>
      <c r="L21" s="141"/>
      <c r="M21" s="54"/>
      <c r="N21" s="54"/>
      <c r="O21" s="54"/>
      <c r="P21" s="54"/>
      <c r="Q21" s="54"/>
      <c r="R21" s="54"/>
      <c r="S21" s="4"/>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row>
    <row r="22" spans="1:75" customFormat="1" ht="15">
      <c r="A22" s="141"/>
      <c r="B22" s="141"/>
      <c r="C22" s="141"/>
      <c r="D22" s="143"/>
      <c r="E22" s="144"/>
      <c r="F22" s="144"/>
      <c r="G22" s="141"/>
      <c r="H22" s="141"/>
      <c r="I22" s="141"/>
      <c r="J22" s="141"/>
      <c r="K22" s="141"/>
      <c r="L22" s="141"/>
      <c r="M22" s="54"/>
      <c r="N22" s="54"/>
      <c r="O22" s="54"/>
      <c r="P22" s="54"/>
      <c r="Q22" s="54"/>
      <c r="R22" s="54"/>
      <c r="S22" s="4"/>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row>
    <row r="23" spans="1:75" ht="14.25">
      <c r="F23" s="141"/>
      <c r="G23" s="141"/>
      <c r="H23" s="141"/>
      <c r="I23" s="141"/>
      <c r="J23" s="141"/>
      <c r="K23" s="141"/>
    </row>
  </sheetData>
  <mergeCells count="8">
    <mergeCell ref="A9:B9"/>
    <mergeCell ref="J7:K7"/>
    <mergeCell ref="C4:D4"/>
    <mergeCell ref="J5:K5"/>
    <mergeCell ref="A6:B6"/>
    <mergeCell ref="J6:K6"/>
    <mergeCell ref="A7:B7"/>
    <mergeCell ref="A8:B8"/>
  </mergeCells>
  <conditionalFormatting sqref="J5">
    <cfRule type="containsText" dxfId="113" priority="38" operator="containsText" text="Pass">
      <formula>NOT(ISERROR(SEARCH("Pass",J5)))</formula>
    </cfRule>
    <cfRule type="containsText" dxfId="112" priority="39" operator="containsText" text="Fail">
      <formula>NOT(ISERROR(SEARCH("Fail",J5)))</formula>
    </cfRule>
  </conditionalFormatting>
  <conditionalFormatting sqref="J6">
    <cfRule type="containsText" dxfId="111" priority="36" operator="containsText" text="Pass">
      <formula>NOT(ISERROR(SEARCH("Pass",J6)))</formula>
    </cfRule>
    <cfRule type="containsText" dxfId="110" priority="37" operator="containsText" text="Fail">
      <formula>NOT(ISERROR(SEARCH("Fail",J6)))</formula>
    </cfRule>
  </conditionalFormatting>
  <conditionalFormatting sqref="E15:F15 E19:F19">
    <cfRule type="cellIs" dxfId="109" priority="34" stopIfTrue="1" operator="equal">
      <formula>"pass"</formula>
    </cfRule>
    <cfRule type="cellIs" dxfId="108" priority="35" stopIfTrue="1" operator="equal">
      <formula>"fail"</formula>
    </cfRule>
  </conditionalFormatting>
  <conditionalFormatting sqref="B15">
    <cfRule type="expression" dxfId="107" priority="32">
      <formula>EXACT($B$15,"")</formula>
    </cfRule>
    <cfRule type="cellIs" dxfId="106" priority="33" operator="lessThan">
      <formula>$C$6</formula>
    </cfRule>
  </conditionalFormatting>
  <conditionalFormatting sqref="C15">
    <cfRule type="expression" dxfId="105" priority="30">
      <formula>EXACT($C$15,"")</formula>
    </cfRule>
    <cfRule type="cellIs" dxfId="104" priority="31" operator="lessThan">
      <formula>$C$6</formula>
    </cfRule>
  </conditionalFormatting>
  <conditionalFormatting sqref="B19">
    <cfRule type="cellIs" dxfId="103" priority="27" operator="lessThan">
      <formula>C9</formula>
    </cfRule>
  </conditionalFormatting>
  <conditionalFormatting sqref="B21">
    <cfRule type="cellIs" dxfId="102" priority="20" stopIfTrue="1" operator="equal">
      <formula>"Fail"</formula>
    </cfRule>
    <cfRule type="cellIs" dxfId="101" priority="21" stopIfTrue="1" operator="equal">
      <formula>"Pass"</formula>
    </cfRule>
  </conditionalFormatting>
  <conditionalFormatting sqref="B16">
    <cfRule type="expression" dxfId="100" priority="16">
      <formula>EXACT(B16,"")</formula>
    </cfRule>
  </conditionalFormatting>
  <conditionalFormatting sqref="C16">
    <cfRule type="expression" dxfId="99" priority="14">
      <formula>EXACT(C16,"")</formula>
    </cfRule>
  </conditionalFormatting>
  <conditionalFormatting sqref="C19">
    <cfRule type="cellIs" dxfId="98" priority="13" operator="lessThan">
      <formula>D9</formula>
    </cfRule>
  </conditionalFormatting>
  <conditionalFormatting sqref="J7">
    <cfRule type="containsText" dxfId="97" priority="7" operator="containsText" text="Pass">
      <formula>NOT(ISERROR(SEARCH("Pass",J7)))</formula>
    </cfRule>
    <cfRule type="containsText" dxfId="96" priority="8" operator="containsText" text="Fail">
      <formula>NOT(ISERROR(SEARCH("Fail",J7)))</formula>
    </cfRule>
  </conditionalFormatting>
  <conditionalFormatting sqref="D15">
    <cfRule type="cellIs" dxfId="95" priority="5" operator="greaterThan">
      <formula>C1048570</formula>
    </cfRule>
  </conditionalFormatting>
  <conditionalFormatting sqref="D16">
    <cfRule type="cellIs" dxfId="94" priority="3" operator="greaterThan">
      <formula>C1048570</formula>
    </cfRule>
  </conditionalFormatting>
  <conditionalFormatting sqref="C21">
    <cfRule type="cellIs" dxfId="93" priority="1" stopIfTrue="1" operator="equal">
      <formula>"Fail"</formula>
    </cfRule>
    <cfRule type="cellIs" dxfId="92" priority="2" stopIfTrue="1" operator="equal">
      <formula>"Pass"</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8"/>
  <sheetViews>
    <sheetView workbookViewId="0">
      <selection activeCell="C6" sqref="C6"/>
    </sheetView>
  </sheetViews>
  <sheetFormatPr defaultColWidth="9.140625" defaultRowHeight="12.75"/>
  <cols>
    <col min="1" max="1" width="12" style="4" customWidth="1"/>
    <col min="2" max="3" width="9.140625" style="4" customWidth="1"/>
    <col min="4" max="4" width="12" style="4" customWidth="1"/>
    <col min="5" max="6" width="9.140625" style="4" customWidth="1"/>
    <col min="7" max="7" width="17.28515625" style="4" customWidth="1"/>
    <col min="8" max="11" width="9.140625" style="4" customWidth="1"/>
    <col min="12" max="12" width="12.42578125" style="4" bestFit="1" customWidth="1"/>
    <col min="13" max="16384" width="9.140625" style="4"/>
  </cols>
  <sheetData>
    <row r="1" spans="1:256" ht="29.1" customHeight="1">
      <c r="A1" s="2" t="s">
        <v>124</v>
      </c>
      <c r="B1" s="3"/>
      <c r="C1" s="3"/>
      <c r="D1" s="3"/>
      <c r="E1" s="3"/>
      <c r="F1" s="3"/>
      <c r="G1" s="3"/>
      <c r="H1" s="3"/>
      <c r="I1" s="3"/>
      <c r="J1" s="3"/>
      <c r="K1" s="3"/>
      <c r="L1" s="3"/>
      <c r="M1" s="3"/>
      <c r="N1" s="3"/>
      <c r="O1" s="3"/>
      <c r="P1" s="3"/>
    </row>
    <row r="2" spans="1:256" ht="13.5" thickBot="1">
      <c r="A2" s="5"/>
    </row>
    <row r="3" spans="1:256" ht="15.95" customHeight="1">
      <c r="A3" s="6" t="s">
        <v>20</v>
      </c>
      <c r="B3" s="7"/>
      <c r="C3" s="7"/>
      <c r="D3" s="7"/>
      <c r="I3" s="215" t="s">
        <v>24</v>
      </c>
      <c r="J3" s="216"/>
      <c r="K3" s="8"/>
      <c r="L3" s="9"/>
    </row>
    <row r="4" spans="1:256">
      <c r="A4" s="10" t="s">
        <v>21</v>
      </c>
      <c r="B4" s="11"/>
      <c r="C4" s="190" t="s">
        <v>144</v>
      </c>
      <c r="D4" s="190"/>
      <c r="E4" s="11"/>
      <c r="F4" s="11"/>
      <c r="I4" s="217"/>
      <c r="J4" s="218"/>
      <c r="K4" s="12"/>
      <c r="L4" s="13"/>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c r="IP4" s="11"/>
      <c r="IQ4" s="11"/>
      <c r="IR4" s="11"/>
      <c r="IS4" s="11"/>
      <c r="IT4" s="11"/>
      <c r="IU4" s="11"/>
      <c r="IV4" s="11"/>
    </row>
    <row r="5" spans="1:256" ht="12.95" customHeight="1">
      <c r="A5" s="10"/>
      <c r="B5" s="11"/>
      <c r="C5" s="11"/>
      <c r="D5" s="11"/>
      <c r="E5" s="11"/>
      <c r="F5" s="11"/>
      <c r="I5" s="225" t="s">
        <v>22</v>
      </c>
      <c r="J5" s="226"/>
      <c r="K5" s="219" t="str">
        <f>IF($C$34="","",IF(MAX(G18:G34)&gt;C6,"Fail","Pass"))</f>
        <v>Pass</v>
      </c>
      <c r="L5" s="220"/>
      <c r="N5" s="14"/>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P5" s="11"/>
      <c r="IQ5" s="11"/>
      <c r="IR5" s="11"/>
      <c r="IS5" s="11"/>
      <c r="IT5" s="11"/>
      <c r="IU5" s="11"/>
      <c r="IV5" s="11"/>
    </row>
    <row r="6" spans="1:256" ht="15.95" customHeight="1" thickBot="1">
      <c r="A6" s="209" t="s">
        <v>26</v>
      </c>
      <c r="B6" s="209"/>
      <c r="C6" s="15">
        <f>IF(C4="Diagnostisch",10,IF(C4="Diagnostisch secundair",20,IF(C4="Review",20,IF(C4="Mammografie",10,10))))</f>
        <v>10</v>
      </c>
      <c r="I6" s="223" t="s">
        <v>23</v>
      </c>
      <c r="J6" s="224"/>
      <c r="K6" s="221" t="str">
        <f>IF(MAX(G71:G87)&gt;C6,"Fail","Pass")</f>
        <v>Fail</v>
      </c>
      <c r="L6" s="222"/>
    </row>
    <row r="7" spans="1:256" ht="12.95" customHeight="1">
      <c r="A7" s="89" t="s">
        <v>25</v>
      </c>
      <c r="B7" s="89"/>
      <c r="C7" s="16" t="str">
        <f>IF(C4="Diagnostisch","+/-10%",IF(C4="Diagnostisch secundair","+/-20%",IF(C4="Mammografie","+/-10%",IF(C4="Review","+/-20%","ERROR"))))</f>
        <v>+/-10%</v>
      </c>
      <c r="E7" s="11"/>
      <c r="F7" s="11"/>
      <c r="I7" s="11"/>
      <c r="J7" s="11"/>
      <c r="K7" s="11"/>
      <c r="L7" s="11"/>
      <c r="M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P7" s="11"/>
      <c r="IQ7" s="11"/>
      <c r="IR7" s="11"/>
      <c r="IS7" s="11"/>
      <c r="IT7" s="11"/>
      <c r="IU7" s="11"/>
      <c r="IV7" s="11"/>
    </row>
    <row r="8" spans="1:256" ht="14.1" customHeight="1">
      <c r="E8" s="11"/>
      <c r="F8" s="11"/>
      <c r="I8" s="11"/>
      <c r="J8" s="11"/>
      <c r="K8" s="11"/>
      <c r="L8" s="11"/>
      <c r="M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row>
    <row r="9" spans="1:256">
      <c r="A9" s="17" t="s">
        <v>160</v>
      </c>
      <c r="B9" s="18"/>
      <c r="C9" s="18"/>
      <c r="D9" s="18"/>
      <c r="E9" s="18"/>
      <c r="F9" s="18"/>
      <c r="G9" s="18"/>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row>
    <row r="10" spans="1:256">
      <c r="A10" s="17"/>
      <c r="B10" s="18"/>
      <c r="C10" s="18"/>
      <c r="D10" s="18"/>
      <c r="E10" s="18"/>
      <c r="F10" s="18"/>
      <c r="G10" s="18"/>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c r="IR10" s="11"/>
      <c r="IS10" s="11"/>
      <c r="IT10" s="11"/>
      <c r="IU10" s="11"/>
      <c r="IV10" s="11"/>
    </row>
    <row r="11" spans="1:256" ht="18" customHeight="1">
      <c r="A11" s="19" t="s">
        <v>18</v>
      </c>
      <c r="B11" s="20"/>
      <c r="C11" s="20"/>
      <c r="D11" s="20"/>
      <c r="E11" s="20"/>
      <c r="F11" s="20"/>
      <c r="G11" s="20"/>
      <c r="H11" s="21"/>
      <c r="I11" s="21"/>
      <c r="J11" s="21"/>
      <c r="K11" s="21"/>
      <c r="L11" s="21"/>
      <c r="M11" s="21"/>
      <c r="N11" s="21"/>
      <c r="O11" s="21"/>
      <c r="P11" s="22"/>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O11" s="11"/>
      <c r="IP11" s="11"/>
      <c r="IQ11" s="11"/>
      <c r="IR11" s="11"/>
      <c r="IS11" s="11"/>
      <c r="IT11" s="11"/>
      <c r="IU11" s="11"/>
      <c r="IV11" s="11"/>
    </row>
    <row r="12" spans="1:256" ht="15.75">
      <c r="A12" s="23"/>
      <c r="B12" s="18"/>
      <c r="C12" s="18"/>
      <c r="D12" s="18"/>
      <c r="E12" s="18"/>
      <c r="F12" s="18"/>
      <c r="G12" s="18"/>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P12" s="11"/>
      <c r="IQ12" s="11"/>
      <c r="IR12" s="11"/>
      <c r="IS12" s="11"/>
      <c r="IT12" s="11"/>
      <c r="IU12" s="11"/>
      <c r="IV12" s="11"/>
    </row>
    <row r="13" spans="1:256">
      <c r="A13" s="24"/>
      <c r="B13" s="25"/>
      <c r="C13" s="25"/>
      <c r="D13" s="25"/>
      <c r="E13" s="25"/>
      <c r="F13" s="25"/>
      <c r="G13" s="25"/>
      <c r="H13" s="26"/>
      <c r="I13" s="26"/>
      <c r="J13" s="26"/>
      <c r="K13" s="26"/>
      <c r="L13" s="26"/>
      <c r="M13" s="26"/>
      <c r="N13" s="26"/>
      <c r="O13" s="26"/>
      <c r="P13" s="27"/>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row>
    <row r="14" spans="1:256" s="11" customFormat="1">
      <c r="A14" s="28" t="s">
        <v>0</v>
      </c>
      <c r="B14" s="25"/>
      <c r="C14" s="25"/>
      <c r="D14" s="25"/>
      <c r="E14" s="25"/>
      <c r="F14" s="25"/>
      <c r="G14" s="25"/>
      <c r="H14" s="25"/>
      <c r="I14" s="29" t="s">
        <v>1</v>
      </c>
      <c r="J14" s="26"/>
      <c r="K14" s="30"/>
      <c r="L14" s="25"/>
      <c r="M14" s="26"/>
      <c r="N14" s="214" t="s">
        <v>6</v>
      </c>
      <c r="O14" s="214"/>
      <c r="P14" s="27"/>
    </row>
    <row r="15" spans="1:256">
      <c r="A15" s="25" t="s">
        <v>2</v>
      </c>
      <c r="B15" s="25"/>
      <c r="C15" s="25" t="s">
        <v>3</v>
      </c>
      <c r="D15" s="25" t="s">
        <v>4</v>
      </c>
      <c r="E15" s="25"/>
      <c r="F15" s="25"/>
      <c r="G15" s="25" t="s">
        <v>5</v>
      </c>
      <c r="H15" s="26"/>
      <c r="I15" s="25" t="s">
        <v>2</v>
      </c>
      <c r="J15" s="26"/>
      <c r="K15" s="25" t="s">
        <v>3</v>
      </c>
      <c r="L15" s="25" t="s">
        <v>4</v>
      </c>
      <c r="M15" s="26"/>
      <c r="N15" s="25" t="s">
        <v>27</v>
      </c>
      <c r="O15" s="31" t="s">
        <v>28</v>
      </c>
      <c r="P15" s="27"/>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row>
    <row r="16" spans="1:256">
      <c r="A16" s="25" t="s">
        <v>7</v>
      </c>
      <c r="B16" s="25" t="s">
        <v>8</v>
      </c>
      <c r="C16" s="31" t="s">
        <v>9</v>
      </c>
      <c r="D16" s="25" t="s">
        <v>10</v>
      </c>
      <c r="E16" s="25"/>
      <c r="F16" s="25" t="s">
        <v>6</v>
      </c>
      <c r="G16" s="25" t="s">
        <v>11</v>
      </c>
      <c r="H16" s="26"/>
      <c r="I16" s="25" t="s">
        <v>7</v>
      </c>
      <c r="J16" s="25" t="s">
        <v>8</v>
      </c>
      <c r="K16" s="31" t="s">
        <v>9</v>
      </c>
      <c r="L16" s="25" t="s">
        <v>10</v>
      </c>
      <c r="M16" s="31" t="s">
        <v>6</v>
      </c>
      <c r="N16" s="32">
        <f>C6/100</f>
        <v>0.1</v>
      </c>
      <c r="O16" s="32">
        <f>C6/100</f>
        <v>0.1</v>
      </c>
      <c r="P16" s="27"/>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row>
    <row r="17" spans="1:253">
      <c r="A17" s="25">
        <v>1</v>
      </c>
      <c r="B17" s="30">
        <v>0</v>
      </c>
      <c r="C17" s="1">
        <v>0.6</v>
      </c>
      <c r="D17" s="33">
        <f>IF($C$34="","",(71.498068+94.593053*LOG(C17,10)+41.912053*POWER(LOG(C17,10),2)+9.8247004*POWER(LOG(C17,10),3)+0.28175407*POWER(LOG(C17,10),4)-1.1878455*POWER(LOG(C17,10),5)-0.18014349*POWER(LOG(C17,10),6)+0.14710899*POWER(LOG(C17,10),7)-0.017046845*POWER(LOG(C17,10),8)))</f>
        <v>52.469519830781024</v>
      </c>
      <c r="E17" s="25"/>
      <c r="F17" s="34"/>
      <c r="G17" s="25"/>
      <c r="H17" s="26"/>
      <c r="I17" s="25">
        <v>1</v>
      </c>
      <c r="J17" s="25">
        <v>0</v>
      </c>
      <c r="K17" s="35">
        <f>IF(C17="","",C17)</f>
        <v>0.6</v>
      </c>
      <c r="L17" s="34">
        <f>IF(C17="","",(71.498068+94.593053*LOG(K17,10)+41.912053*POWER(LOG(K17,10),2)+9.8247004*POWER(LOG(K17,10),3)+0.28175407*POWER(LOG(K17,10),4)-1.1878455*POWER(LOG(K17,10),5)-0.18014349*POWER(LOG(K17,10),6)+0.14710899*POWER(LOG(K17,10),7)-0.017046845*POWER(LOG(K17,10),8)))</f>
        <v>52.469519830781024</v>
      </c>
      <c r="M17" s="26"/>
      <c r="N17" s="26"/>
      <c r="O17" s="26"/>
      <c r="P17" s="27"/>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row>
    <row r="18" spans="1:253">
      <c r="A18" s="25">
        <f t="shared" ref="A18:A34" si="0">A17+1</f>
        <v>2</v>
      </c>
      <c r="B18" s="30">
        <f t="shared" ref="B18:B34" si="1">B17+240</f>
        <v>240</v>
      </c>
      <c r="C18" s="1">
        <v>1.69</v>
      </c>
      <c r="D18" s="33">
        <f t="shared" ref="D18:D34" si="2">IF($C$34="","",(71.498068+94.593053*LOG(C18,10)+41.912053*POWER(LOG(C18,10),2)+9.8247004*POWER(LOG(C18,10),3)+0.28175407*POWER(LOG(C18,10),4)-1.1878455*POWER(LOG(C18,10),5)-0.18014349*POWER(LOG(C18,10),6)+0.14710899*POWER(LOG(C18,10),7)-0.017046845*POWER(LOG(C18,10),8)))</f>
        <v>95.347440012201474</v>
      </c>
      <c r="E18" s="25"/>
      <c r="F18" s="34">
        <f t="shared" ref="F18:F34" si="3">IF($C$34="","",((C18-C17)/(0.5*(C18+C17))))</f>
        <v>0.95196506550218329</v>
      </c>
      <c r="G18" s="36">
        <f>IF(C18="","",(ABS(M18-F18)/M18)*100)</f>
        <v>9.545176742686035</v>
      </c>
      <c r="H18" s="26"/>
      <c r="I18" s="25">
        <f t="shared" ref="I18:I34" si="4">I17+1</f>
        <v>2</v>
      </c>
      <c r="J18" s="25">
        <f t="shared" ref="J18:J34" si="5">J17+240</f>
        <v>240</v>
      </c>
      <c r="K18" s="37">
        <f>IF($C$34="","",(10^((-1.3011877+(0.080242636*LN(L18))+(0.13646699*(LN(L18))^2)+(-0.025468404*(LN(L18))^3)+(0.0013635334*(LN(L18))^4))/(1+(-0.025840191*LN(L18))+(-0.10320229*(LN(L18))^2)+(0.02874562*(LN(L18))^3)+(-0.0031978977*(LN(L18))^4)+(0.00012992634*(LN(L18))^5)))))</f>
        <v>1.5220458536577142</v>
      </c>
      <c r="L18" s="38">
        <f t="shared" ref="L18:L33" si="6">IF($C$34="","",($K$38*J18+$K$39))</f>
        <v>90.22956032677385</v>
      </c>
      <c r="M18" s="34">
        <f t="shared" ref="M18:M34" si="7">IF($C$34="","",((K18-K17)/(0.5*(K18+K17))))</f>
        <v>0.8690159565293164</v>
      </c>
      <c r="N18" s="34">
        <f>IF($C$34="","",M18+(M18*$N$16))</f>
        <v>0.95591755218224805</v>
      </c>
      <c r="O18" s="34">
        <f>IF($C$34="","",M18-(M18*$O$16))</f>
        <v>0.78211436087638475</v>
      </c>
      <c r="P18" s="27"/>
      <c r="Q18" s="39"/>
      <c r="R18" s="39"/>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c r="IK18" s="11"/>
      <c r="IL18" s="11"/>
      <c r="IM18" s="11"/>
      <c r="IN18" s="11"/>
      <c r="IO18" s="11"/>
      <c r="IP18" s="11"/>
      <c r="IQ18" s="11"/>
    </row>
    <row r="19" spans="1:253">
      <c r="A19" s="25">
        <f t="shared" si="0"/>
        <v>3</v>
      </c>
      <c r="B19" s="30">
        <f t="shared" si="1"/>
        <v>480</v>
      </c>
      <c r="C19" s="1">
        <v>3.57</v>
      </c>
      <c r="D19" s="33">
        <f t="shared" si="2"/>
        <v>138.19891404461436</v>
      </c>
      <c r="E19" s="25"/>
      <c r="F19" s="34">
        <f t="shared" si="3"/>
        <v>0.71482889733840305</v>
      </c>
      <c r="G19" s="36">
        <f t="shared" ref="G19:G34" si="8">IF(C19="","",(ABS(M19-F19)/M19)*100)</f>
        <v>7.5871982774517619</v>
      </c>
      <c r="H19" s="26"/>
      <c r="I19" s="25">
        <f t="shared" si="4"/>
        <v>3</v>
      </c>
      <c r="J19" s="25">
        <f t="shared" si="5"/>
        <v>480</v>
      </c>
      <c r="K19" s="37">
        <f t="shared" ref="K19:K33" si="9">IF($C$34="","",(10^((-1.3011877+(0.080242636*LN(L19))+(0.13646699*(LN(L19))^2)+(-0.025468404*(LN(L19))^3)+(0.0013635334*(LN(L19))^4))/(1+(-0.025840191*LN(L19))+(-0.10320229*(LN(L19))^2)+(0.02874562*(LN(L19))^3)+(-0.0031978977*(LN(L19))^4)+(0.00012992634*(LN(L19))^5)))))</f>
        <v>3.0364044728118782</v>
      </c>
      <c r="L19" s="38">
        <f t="shared" si="6"/>
        <v>127.98960082276668</v>
      </c>
      <c r="M19" s="34">
        <f t="shared" si="7"/>
        <v>0.66441817315008345</v>
      </c>
      <c r="N19" s="34">
        <f t="shared" ref="N19:N34" si="10">IF($C$34="","",M19+(M19*$N$16))</f>
        <v>0.73085999046509176</v>
      </c>
      <c r="O19" s="34">
        <f t="shared" ref="O19:O34" si="11">IF($C$34="","",M19-(M19*$O$16))</f>
        <v>0.59797635583507514</v>
      </c>
      <c r="P19" s="27"/>
      <c r="Q19" s="39"/>
      <c r="R19" s="39"/>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c r="IJ19" s="11"/>
      <c r="IK19" s="11"/>
      <c r="IL19" s="11"/>
      <c r="IM19" s="11"/>
      <c r="IN19" s="11"/>
      <c r="IO19" s="11"/>
      <c r="IP19" s="11"/>
      <c r="IQ19" s="11"/>
    </row>
    <row r="20" spans="1:253">
      <c r="A20" s="25">
        <f t="shared" si="0"/>
        <v>4</v>
      </c>
      <c r="B20" s="30">
        <f t="shared" si="1"/>
        <v>720</v>
      </c>
      <c r="C20" s="1">
        <v>6.23</v>
      </c>
      <c r="D20" s="33">
        <f t="shared" si="2"/>
        <v>177.75109813720042</v>
      </c>
      <c r="E20" s="25"/>
      <c r="F20" s="34">
        <f t="shared" si="3"/>
        <v>0.54285714285714293</v>
      </c>
      <c r="G20" s="36">
        <f t="shared" si="8"/>
        <v>0.47955214636439503</v>
      </c>
      <c r="H20" s="26"/>
      <c r="I20" s="25">
        <f t="shared" si="4"/>
        <v>4</v>
      </c>
      <c r="J20" s="25">
        <f t="shared" si="5"/>
        <v>720</v>
      </c>
      <c r="K20" s="37">
        <f t="shared" si="9"/>
        <v>5.313813599700425</v>
      </c>
      <c r="L20" s="38">
        <f t="shared" si="6"/>
        <v>165.7496413187595</v>
      </c>
      <c r="M20" s="34">
        <f t="shared" si="7"/>
        <v>0.54547297019354368</v>
      </c>
      <c r="N20" s="34">
        <f t="shared" si="10"/>
        <v>0.60002026721289803</v>
      </c>
      <c r="O20" s="34">
        <f t="shared" si="11"/>
        <v>0.49092567317418934</v>
      </c>
      <c r="P20" s="27"/>
      <c r="Q20" s="39"/>
      <c r="R20" s="39"/>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c r="IJ20" s="11"/>
      <c r="IK20" s="11"/>
      <c r="IL20" s="11"/>
      <c r="IM20" s="11"/>
      <c r="IN20" s="11"/>
      <c r="IO20" s="11"/>
      <c r="IP20" s="11"/>
      <c r="IQ20" s="11"/>
    </row>
    <row r="21" spans="1:253">
      <c r="A21" s="25">
        <f t="shared" si="0"/>
        <v>5</v>
      </c>
      <c r="B21" s="30">
        <f t="shared" si="1"/>
        <v>960</v>
      </c>
      <c r="C21" s="1">
        <v>9.81</v>
      </c>
      <c r="D21" s="33">
        <f t="shared" si="2"/>
        <v>215.18565480452443</v>
      </c>
      <c r="E21" s="25"/>
      <c r="F21" s="34">
        <f t="shared" si="3"/>
        <v>0.44638403990024939</v>
      </c>
      <c r="G21" s="36">
        <f t="shared" si="8"/>
        <v>4.7973938432904362</v>
      </c>
      <c r="H21" s="26"/>
      <c r="I21" s="25">
        <f t="shared" si="4"/>
        <v>5</v>
      </c>
      <c r="J21" s="25">
        <f t="shared" si="5"/>
        <v>960</v>
      </c>
      <c r="K21" s="37">
        <f t="shared" si="9"/>
        <v>8.5683289577491593</v>
      </c>
      <c r="L21" s="38">
        <f t="shared" si="6"/>
        <v>203.50968181475233</v>
      </c>
      <c r="M21" s="34">
        <f t="shared" si="7"/>
        <v>0.46887796240102164</v>
      </c>
      <c r="N21" s="34">
        <f t="shared" si="10"/>
        <v>0.51576575864112384</v>
      </c>
      <c r="O21" s="34">
        <f t="shared" si="11"/>
        <v>0.42199016616091944</v>
      </c>
      <c r="P21" s="27"/>
      <c r="Q21" s="39"/>
      <c r="R21" s="39"/>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c r="FQ21" s="11"/>
      <c r="FR21" s="11"/>
      <c r="FS21" s="11"/>
      <c r="FT21" s="11"/>
      <c r="FU21" s="11"/>
      <c r="FV21" s="11"/>
      <c r="FW21" s="11"/>
      <c r="FX21" s="11"/>
      <c r="FY21" s="11"/>
      <c r="FZ21" s="11"/>
      <c r="GA21" s="11"/>
      <c r="GB21" s="11"/>
      <c r="GC21" s="11"/>
      <c r="GD21" s="11"/>
      <c r="GE21" s="11"/>
      <c r="GF21" s="11"/>
      <c r="GG21" s="11"/>
      <c r="GH21" s="11"/>
      <c r="GI21" s="11"/>
      <c r="GJ21" s="11"/>
      <c r="GK21" s="11"/>
      <c r="GL21" s="11"/>
      <c r="GM21" s="11"/>
      <c r="GN21" s="11"/>
      <c r="GO21" s="11"/>
      <c r="GP21" s="11"/>
      <c r="GQ21" s="11"/>
      <c r="GR21" s="11"/>
      <c r="GS21" s="11"/>
      <c r="GT21" s="11"/>
      <c r="GU21" s="11"/>
      <c r="GV21" s="11"/>
      <c r="GW21" s="11"/>
      <c r="GX21" s="11"/>
      <c r="GY21" s="11"/>
      <c r="GZ21" s="11"/>
      <c r="HA21" s="11"/>
      <c r="HB21" s="11"/>
      <c r="HC21" s="11"/>
      <c r="HD21" s="11"/>
      <c r="HE21" s="11"/>
      <c r="HF21" s="11"/>
      <c r="HG21" s="11"/>
      <c r="HH21" s="11"/>
      <c r="HI21" s="11"/>
      <c r="HJ21" s="11"/>
      <c r="HK21" s="11"/>
      <c r="HL21" s="11"/>
      <c r="HM21" s="11"/>
      <c r="HN21" s="11"/>
      <c r="HO21" s="11"/>
      <c r="HP21" s="11"/>
      <c r="HQ21" s="11"/>
      <c r="HR21" s="11"/>
      <c r="HS21" s="11"/>
      <c r="HT21" s="11"/>
      <c r="HU21" s="11"/>
      <c r="HV21" s="11"/>
      <c r="HW21" s="11"/>
      <c r="HX21" s="11"/>
      <c r="HY21" s="11"/>
      <c r="HZ21" s="11"/>
      <c r="IA21" s="11"/>
      <c r="IB21" s="11"/>
      <c r="IC21" s="11"/>
      <c r="ID21" s="11"/>
      <c r="IE21" s="11"/>
      <c r="IF21" s="11"/>
      <c r="IG21" s="11"/>
      <c r="IH21" s="11"/>
      <c r="II21" s="11"/>
      <c r="IJ21" s="11"/>
      <c r="IK21" s="11"/>
      <c r="IL21" s="11"/>
      <c r="IM21" s="11"/>
      <c r="IN21" s="11"/>
      <c r="IO21" s="11"/>
      <c r="IP21" s="11"/>
      <c r="IQ21" s="11"/>
    </row>
    <row r="22" spans="1:253">
      <c r="A22" s="25">
        <f t="shared" si="0"/>
        <v>6</v>
      </c>
      <c r="B22" s="30">
        <f t="shared" si="1"/>
        <v>1200</v>
      </c>
      <c r="C22" s="1">
        <v>15</v>
      </c>
      <c r="D22" s="33">
        <f t="shared" si="2"/>
        <v>254.48790356442939</v>
      </c>
      <c r="E22" s="25"/>
      <c r="F22" s="34">
        <f t="shared" si="3"/>
        <v>0.41837968561064082</v>
      </c>
      <c r="G22" s="36">
        <f t="shared" si="8"/>
        <v>0.52681052590596811</v>
      </c>
      <c r="H22" s="26"/>
      <c r="I22" s="25">
        <f t="shared" si="4"/>
        <v>6</v>
      </c>
      <c r="J22" s="25">
        <f t="shared" si="5"/>
        <v>1200</v>
      </c>
      <c r="K22" s="37">
        <f t="shared" si="9"/>
        <v>13.071422365302112</v>
      </c>
      <c r="L22" s="38">
        <f t="shared" si="6"/>
        <v>241.26972231074515</v>
      </c>
      <c r="M22" s="34">
        <f t="shared" si="7"/>
        <v>0.41618716780318371</v>
      </c>
      <c r="N22" s="34">
        <f t="shared" si="10"/>
        <v>0.45780588458350208</v>
      </c>
      <c r="O22" s="34">
        <f t="shared" si="11"/>
        <v>0.37456845102286535</v>
      </c>
      <c r="P22" s="27"/>
      <c r="Q22" s="39"/>
      <c r="R22" s="39"/>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c r="FQ22" s="11"/>
      <c r="FR22" s="11"/>
      <c r="FS22" s="11"/>
      <c r="FT22" s="11"/>
      <c r="FU22" s="11"/>
      <c r="FV22" s="11"/>
      <c r="FW22" s="11"/>
      <c r="FX22" s="11"/>
      <c r="FY22" s="11"/>
      <c r="FZ22" s="11"/>
      <c r="GA22" s="11"/>
      <c r="GB22" s="11"/>
      <c r="GC22" s="11"/>
      <c r="GD22" s="11"/>
      <c r="GE22" s="11"/>
      <c r="GF22" s="11"/>
      <c r="GG22" s="11"/>
      <c r="GH22" s="11"/>
      <c r="GI22" s="11"/>
      <c r="GJ22" s="11"/>
      <c r="GK22" s="11"/>
      <c r="GL22" s="11"/>
      <c r="GM22" s="11"/>
      <c r="GN22" s="11"/>
      <c r="GO22" s="11"/>
      <c r="GP22" s="11"/>
      <c r="GQ22" s="11"/>
      <c r="GR22" s="11"/>
      <c r="GS22" s="11"/>
      <c r="GT22" s="11"/>
      <c r="GU22" s="11"/>
      <c r="GV22" s="11"/>
      <c r="GW22" s="11"/>
      <c r="GX22" s="11"/>
      <c r="GY22" s="11"/>
      <c r="GZ22" s="11"/>
      <c r="HA22" s="11"/>
      <c r="HB22" s="11"/>
      <c r="HC22" s="11"/>
      <c r="HD22" s="11"/>
      <c r="HE22" s="11"/>
      <c r="HF22" s="11"/>
      <c r="HG22" s="11"/>
      <c r="HH22" s="11"/>
      <c r="HI22" s="11"/>
      <c r="HJ22" s="11"/>
      <c r="HK22" s="11"/>
      <c r="HL22" s="11"/>
      <c r="HM22" s="11"/>
      <c r="HN22" s="11"/>
      <c r="HO22" s="11"/>
      <c r="HP22" s="11"/>
      <c r="HQ22" s="11"/>
      <c r="HR22" s="11"/>
      <c r="HS22" s="11"/>
      <c r="HT22" s="11"/>
      <c r="HU22" s="11"/>
      <c r="HV22" s="11"/>
      <c r="HW22" s="11"/>
      <c r="HX22" s="11"/>
      <c r="HY22" s="11"/>
      <c r="HZ22" s="11"/>
      <c r="IA22" s="11"/>
      <c r="IB22" s="11"/>
      <c r="IC22" s="11"/>
      <c r="ID22" s="11"/>
      <c r="IE22" s="11"/>
      <c r="IF22" s="11"/>
      <c r="IG22" s="11"/>
      <c r="IH22" s="11"/>
      <c r="II22" s="11"/>
      <c r="IJ22" s="11"/>
      <c r="IK22" s="11"/>
      <c r="IL22" s="11"/>
      <c r="IM22" s="11"/>
      <c r="IN22" s="11"/>
      <c r="IO22" s="11"/>
      <c r="IP22" s="11"/>
      <c r="IQ22" s="11"/>
    </row>
    <row r="23" spans="1:253">
      <c r="A23" s="25">
        <f t="shared" si="0"/>
        <v>7</v>
      </c>
      <c r="B23" s="30">
        <f t="shared" si="1"/>
        <v>1440</v>
      </c>
      <c r="C23" s="1">
        <v>22</v>
      </c>
      <c r="D23" s="33">
        <f t="shared" si="2"/>
        <v>293.43745482415829</v>
      </c>
      <c r="E23" s="25"/>
      <c r="F23" s="34">
        <f t="shared" si="3"/>
        <v>0.3783783783783784</v>
      </c>
      <c r="G23" s="36">
        <f t="shared" si="8"/>
        <v>4.4398163017941937E-2</v>
      </c>
      <c r="H23" s="26"/>
      <c r="I23" s="25">
        <f t="shared" si="4"/>
        <v>7</v>
      </c>
      <c r="J23" s="25">
        <f t="shared" si="5"/>
        <v>1440</v>
      </c>
      <c r="K23" s="37">
        <f t="shared" si="9"/>
        <v>19.168081076925862</v>
      </c>
      <c r="L23" s="38">
        <f t="shared" si="6"/>
        <v>279.02976280673795</v>
      </c>
      <c r="M23" s="34">
        <f t="shared" si="7"/>
        <v>0.37821045988184915</v>
      </c>
      <c r="N23" s="34">
        <f t="shared" si="10"/>
        <v>0.41603150587003407</v>
      </c>
      <c r="O23" s="34">
        <f t="shared" si="11"/>
        <v>0.34038941389366423</v>
      </c>
      <c r="P23" s="27"/>
      <c r="Q23" s="39"/>
      <c r="R23" s="39"/>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row>
    <row r="24" spans="1:253">
      <c r="A24" s="25">
        <f t="shared" si="0"/>
        <v>8</v>
      </c>
      <c r="B24" s="30">
        <f t="shared" si="1"/>
        <v>1680</v>
      </c>
      <c r="C24" s="1">
        <v>31</v>
      </c>
      <c r="D24" s="33">
        <f t="shared" si="2"/>
        <v>331.02345661470611</v>
      </c>
      <c r="E24" s="25"/>
      <c r="F24" s="34">
        <f t="shared" si="3"/>
        <v>0.33962264150943394</v>
      </c>
      <c r="G24" s="36">
        <f t="shared" si="8"/>
        <v>2.9330891074973993</v>
      </c>
      <c r="H24" s="26"/>
      <c r="I24" s="25">
        <f t="shared" si="4"/>
        <v>8</v>
      </c>
      <c r="J24" s="25">
        <f t="shared" si="5"/>
        <v>1680</v>
      </c>
      <c r="K24" s="37">
        <f t="shared" si="9"/>
        <v>27.296758133167675</v>
      </c>
      <c r="L24" s="38">
        <f t="shared" si="6"/>
        <v>316.78980330273077</v>
      </c>
      <c r="M24" s="34">
        <f t="shared" si="7"/>
        <v>0.34988508276064467</v>
      </c>
      <c r="N24" s="34">
        <f t="shared" si="10"/>
        <v>0.38487359103670915</v>
      </c>
      <c r="O24" s="34">
        <f t="shared" si="11"/>
        <v>0.31489657448458019</v>
      </c>
      <c r="P24" s="27"/>
      <c r="Q24" s="39"/>
      <c r="R24" s="39"/>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c r="FU24" s="11"/>
      <c r="FV24" s="11"/>
      <c r="FW24" s="11"/>
      <c r="FX24" s="11"/>
      <c r="FY24" s="11"/>
      <c r="FZ24" s="11"/>
      <c r="GA24" s="11"/>
      <c r="GB24" s="11"/>
      <c r="GC24" s="11"/>
      <c r="GD24" s="11"/>
      <c r="GE24" s="11"/>
      <c r="GF24" s="11"/>
      <c r="GG24" s="11"/>
      <c r="GH24" s="11"/>
      <c r="GI24" s="11"/>
      <c r="GJ24" s="11"/>
      <c r="GK24" s="11"/>
      <c r="GL24" s="11"/>
      <c r="GM24" s="11"/>
      <c r="GN24" s="11"/>
      <c r="GO24" s="11"/>
      <c r="GP24" s="11"/>
      <c r="GQ24" s="11"/>
      <c r="GR24" s="11"/>
      <c r="GS24" s="11"/>
      <c r="GT24" s="11"/>
      <c r="GU24" s="11"/>
      <c r="GV24" s="11"/>
      <c r="GW24" s="11"/>
      <c r="GX24" s="11"/>
      <c r="GY24" s="11"/>
      <c r="GZ24" s="11"/>
      <c r="HA24" s="11"/>
      <c r="HB24" s="11"/>
      <c r="HC24" s="11"/>
      <c r="HD24" s="11"/>
      <c r="HE24" s="11"/>
      <c r="HF24" s="11"/>
      <c r="HG24" s="11"/>
      <c r="HH24" s="11"/>
      <c r="HI24" s="11"/>
      <c r="HJ24" s="11"/>
      <c r="HK24" s="11"/>
      <c r="HL24" s="11"/>
      <c r="HM24" s="11"/>
      <c r="HN24" s="11"/>
      <c r="HO24" s="11"/>
      <c r="HP24" s="11"/>
      <c r="HQ24" s="11"/>
      <c r="HR24" s="11"/>
      <c r="HS24" s="11"/>
      <c r="HT24" s="11"/>
      <c r="HU24" s="11"/>
      <c r="HV24" s="11"/>
      <c r="HW24" s="11"/>
      <c r="HX24" s="11"/>
      <c r="HY24" s="11"/>
      <c r="HZ24" s="11"/>
      <c r="IA24" s="11"/>
      <c r="IB24" s="11"/>
      <c r="IC24" s="11"/>
      <c r="ID24" s="11"/>
      <c r="IE24" s="11"/>
      <c r="IF24" s="11"/>
      <c r="IG24" s="11"/>
      <c r="IH24" s="11"/>
      <c r="II24" s="11"/>
      <c r="IJ24" s="11"/>
      <c r="IK24" s="11"/>
      <c r="IL24" s="11"/>
      <c r="IM24" s="11"/>
      <c r="IN24" s="11"/>
      <c r="IO24" s="11"/>
      <c r="IP24" s="11"/>
      <c r="IQ24" s="11"/>
    </row>
    <row r="25" spans="1:253">
      <c r="A25" s="25">
        <f t="shared" si="0"/>
        <v>9</v>
      </c>
      <c r="B25" s="30">
        <f t="shared" si="1"/>
        <v>1920</v>
      </c>
      <c r="C25" s="1">
        <v>42.5</v>
      </c>
      <c r="D25" s="33">
        <f t="shared" si="2"/>
        <v>367.73627608411027</v>
      </c>
      <c r="E25" s="25"/>
      <c r="F25" s="34">
        <f t="shared" si="3"/>
        <v>0.31292517006802723</v>
      </c>
      <c r="G25" s="36">
        <f t="shared" si="8"/>
        <v>4.6556751074103957</v>
      </c>
      <c r="H25" s="26"/>
      <c r="I25" s="25">
        <f t="shared" si="4"/>
        <v>9</v>
      </c>
      <c r="J25" s="25">
        <f t="shared" si="5"/>
        <v>1920</v>
      </c>
      <c r="K25" s="37">
        <f t="shared" si="9"/>
        <v>38.014512111557892</v>
      </c>
      <c r="L25" s="38">
        <f t="shared" si="6"/>
        <v>354.5498437987236</v>
      </c>
      <c r="M25" s="34">
        <f t="shared" si="7"/>
        <v>0.32820534459765055</v>
      </c>
      <c r="N25" s="34">
        <f t="shared" si="10"/>
        <v>0.36102587905741562</v>
      </c>
      <c r="O25" s="34">
        <f t="shared" si="11"/>
        <v>0.29538481013788548</v>
      </c>
      <c r="P25" s="27"/>
      <c r="Q25" s="39"/>
      <c r="R25" s="39"/>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c r="FQ25" s="11"/>
      <c r="FR25" s="11"/>
      <c r="FS25" s="11"/>
      <c r="FT25" s="11"/>
      <c r="FU25" s="11"/>
      <c r="FV25" s="11"/>
      <c r="FW25" s="11"/>
      <c r="FX25" s="11"/>
      <c r="FY25" s="11"/>
      <c r="FZ25" s="11"/>
      <c r="GA25" s="11"/>
      <c r="GB25" s="11"/>
      <c r="GC25" s="11"/>
      <c r="GD25" s="11"/>
      <c r="GE25" s="11"/>
      <c r="GF25" s="11"/>
      <c r="GG25" s="11"/>
      <c r="GH25" s="11"/>
      <c r="GI25" s="11"/>
      <c r="GJ25" s="11"/>
      <c r="GK25" s="11"/>
      <c r="GL25" s="11"/>
      <c r="GM25" s="11"/>
      <c r="GN25" s="11"/>
      <c r="GO25" s="11"/>
      <c r="GP25" s="11"/>
      <c r="GQ25" s="11"/>
      <c r="GR25" s="11"/>
      <c r="GS25" s="11"/>
      <c r="GT25" s="11"/>
      <c r="GU25" s="11"/>
      <c r="GV25" s="11"/>
      <c r="GW25" s="11"/>
      <c r="GX25" s="11"/>
      <c r="GY25" s="11"/>
      <c r="GZ25" s="11"/>
      <c r="HA25" s="11"/>
      <c r="HB25" s="11"/>
      <c r="HC25" s="11"/>
      <c r="HD25" s="11"/>
      <c r="HE25" s="11"/>
      <c r="HF25" s="11"/>
      <c r="HG25" s="11"/>
      <c r="HH25" s="11"/>
      <c r="HI25" s="11"/>
      <c r="HJ25" s="11"/>
      <c r="HK25" s="11"/>
      <c r="HL25" s="11"/>
      <c r="HM25" s="11"/>
      <c r="HN25" s="11"/>
      <c r="HO25" s="11"/>
      <c r="HP25" s="11"/>
      <c r="HQ25" s="11"/>
      <c r="HR25" s="11"/>
      <c r="HS25" s="11"/>
      <c r="HT25" s="11"/>
      <c r="HU25" s="11"/>
      <c r="HV25" s="11"/>
      <c r="HW25" s="11"/>
      <c r="HX25" s="11"/>
      <c r="HY25" s="11"/>
      <c r="HZ25" s="11"/>
      <c r="IA25" s="11"/>
      <c r="IB25" s="11"/>
      <c r="IC25" s="11"/>
      <c r="ID25" s="11"/>
      <c r="IE25" s="11"/>
      <c r="IF25" s="11"/>
      <c r="IG25" s="11"/>
      <c r="IH25" s="11"/>
      <c r="II25" s="11"/>
      <c r="IJ25" s="11"/>
      <c r="IK25" s="11"/>
      <c r="IL25" s="11"/>
      <c r="IM25" s="11"/>
      <c r="IN25" s="11"/>
      <c r="IO25" s="11"/>
      <c r="IP25" s="11"/>
      <c r="IQ25" s="11"/>
    </row>
    <row r="26" spans="1:253">
      <c r="A26" s="25">
        <f t="shared" si="0"/>
        <v>10</v>
      </c>
      <c r="B26" s="30">
        <f t="shared" si="1"/>
        <v>2160</v>
      </c>
      <c r="C26" s="1">
        <v>57.03</v>
      </c>
      <c r="D26" s="33">
        <f t="shared" si="2"/>
        <v>403.66545916115086</v>
      </c>
      <c r="E26" s="25"/>
      <c r="F26" s="34">
        <f t="shared" si="3"/>
        <v>0.29197226966743695</v>
      </c>
      <c r="G26" s="36">
        <f t="shared" si="8"/>
        <v>6.2028361533474703</v>
      </c>
      <c r="H26" s="26"/>
      <c r="I26" s="25">
        <f t="shared" si="4"/>
        <v>10</v>
      </c>
      <c r="J26" s="25">
        <f t="shared" si="5"/>
        <v>2160</v>
      </c>
      <c r="K26" s="37">
        <f t="shared" si="9"/>
        <v>52.028889054823019</v>
      </c>
      <c r="L26" s="38">
        <f t="shared" si="6"/>
        <v>392.30988429471643</v>
      </c>
      <c r="M26" s="34">
        <f t="shared" si="7"/>
        <v>0.31128048833627603</v>
      </c>
      <c r="N26" s="34">
        <f t="shared" si="10"/>
        <v>0.3424085371699036</v>
      </c>
      <c r="O26" s="34">
        <f t="shared" si="11"/>
        <v>0.28015243950264845</v>
      </c>
      <c r="P26" s="27"/>
      <c r="Q26" s="39"/>
      <c r="R26" s="39"/>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row>
    <row r="27" spans="1:253">
      <c r="A27" s="25">
        <f t="shared" si="0"/>
        <v>11</v>
      </c>
      <c r="B27" s="30">
        <f t="shared" si="1"/>
        <v>2400</v>
      </c>
      <c r="C27" s="1">
        <v>76</v>
      </c>
      <c r="D27" s="33">
        <f t="shared" si="2"/>
        <v>440.21190627899995</v>
      </c>
      <c r="E27" s="25"/>
      <c r="F27" s="34">
        <f t="shared" si="3"/>
        <v>0.28519882733218072</v>
      </c>
      <c r="G27" s="36">
        <f t="shared" si="8"/>
        <v>4.2523067312826859</v>
      </c>
      <c r="H27" s="26"/>
      <c r="I27" s="25">
        <f t="shared" si="4"/>
        <v>11</v>
      </c>
      <c r="J27" s="25">
        <f t="shared" si="5"/>
        <v>2400</v>
      </c>
      <c r="K27" s="37">
        <f t="shared" si="9"/>
        <v>70.238470003451141</v>
      </c>
      <c r="L27" s="38">
        <f t="shared" si="6"/>
        <v>430.06992479070925</v>
      </c>
      <c r="M27" s="34">
        <f t="shared" si="7"/>
        <v>0.29786495903537435</v>
      </c>
      <c r="N27" s="34">
        <f t="shared" si="10"/>
        <v>0.32765145493891179</v>
      </c>
      <c r="O27" s="34">
        <f t="shared" si="11"/>
        <v>0.26807846313183692</v>
      </c>
      <c r="P27" s="27"/>
      <c r="Q27" s="39"/>
      <c r="R27" s="39"/>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c r="FQ27" s="11"/>
      <c r="FR27" s="11"/>
      <c r="FS27" s="11"/>
      <c r="FT27" s="11"/>
      <c r="FU27" s="11"/>
      <c r="FV27" s="11"/>
      <c r="FW27" s="11"/>
      <c r="FX27" s="11"/>
      <c r="FY27" s="11"/>
      <c r="FZ27" s="11"/>
      <c r="GA27" s="11"/>
      <c r="GB27" s="11"/>
      <c r="GC27" s="11"/>
      <c r="GD27" s="11"/>
      <c r="GE27" s="11"/>
      <c r="GF27" s="11"/>
      <c r="GG27" s="11"/>
      <c r="GH27" s="11"/>
      <c r="GI27" s="11"/>
      <c r="GJ27" s="11"/>
      <c r="GK27" s="11"/>
      <c r="GL27" s="11"/>
      <c r="GM27" s="11"/>
      <c r="GN27" s="11"/>
      <c r="GO27" s="11"/>
      <c r="GP27" s="11"/>
      <c r="GQ27" s="11"/>
      <c r="GR27" s="11"/>
      <c r="GS27" s="11"/>
      <c r="GT27" s="11"/>
      <c r="GU27" s="11"/>
      <c r="GV27" s="11"/>
      <c r="GW27" s="11"/>
      <c r="GX27" s="11"/>
      <c r="GY27" s="11"/>
      <c r="GZ27" s="11"/>
      <c r="HA27" s="11"/>
      <c r="HB27" s="11"/>
      <c r="HC27" s="11"/>
      <c r="HD27" s="11"/>
      <c r="HE27" s="11"/>
      <c r="HF27" s="11"/>
      <c r="HG27" s="11"/>
      <c r="HH27" s="11"/>
      <c r="HI27" s="11"/>
      <c r="HJ27" s="11"/>
      <c r="HK27" s="11"/>
      <c r="HL27" s="11"/>
      <c r="HM27" s="11"/>
      <c r="HN27" s="11"/>
      <c r="HO27" s="11"/>
      <c r="HP27" s="11"/>
      <c r="HQ27" s="11"/>
      <c r="HR27" s="11"/>
      <c r="HS27" s="11"/>
      <c r="HT27" s="11"/>
      <c r="HU27" s="11"/>
      <c r="HV27" s="11"/>
      <c r="HW27" s="11"/>
      <c r="HX27" s="11"/>
      <c r="HY27" s="11"/>
      <c r="HZ27" s="11"/>
      <c r="IA27" s="11"/>
      <c r="IB27" s="11"/>
      <c r="IC27" s="11"/>
      <c r="ID27" s="11"/>
      <c r="IE27" s="11"/>
      <c r="IF27" s="11"/>
      <c r="IG27" s="11"/>
      <c r="IH27" s="11"/>
      <c r="II27" s="11"/>
      <c r="IJ27" s="11"/>
      <c r="IK27" s="11"/>
      <c r="IL27" s="11"/>
      <c r="IM27" s="11"/>
      <c r="IN27" s="11"/>
      <c r="IO27" s="11"/>
      <c r="IP27" s="11"/>
      <c r="IQ27" s="11"/>
    </row>
    <row r="28" spans="1:253">
      <c r="A28" s="25">
        <f t="shared" si="0"/>
        <v>12</v>
      </c>
      <c r="B28" s="30">
        <f t="shared" si="1"/>
        <v>2640</v>
      </c>
      <c r="C28" s="1">
        <v>98.76</v>
      </c>
      <c r="D28" s="33">
        <f t="shared" si="2"/>
        <v>474.69592242859682</v>
      </c>
      <c r="E28" s="25"/>
      <c r="F28" s="34">
        <f t="shared" si="3"/>
        <v>0.26047150377660799</v>
      </c>
      <c r="G28" s="36">
        <f t="shared" si="8"/>
        <v>9.2771176577091463</v>
      </c>
      <c r="H28" s="26"/>
      <c r="I28" s="25">
        <f t="shared" si="4"/>
        <v>12</v>
      </c>
      <c r="J28" s="25">
        <f t="shared" si="5"/>
        <v>2640</v>
      </c>
      <c r="K28" s="37">
        <f t="shared" si="9"/>
        <v>93.784522825560884</v>
      </c>
      <c r="L28" s="38">
        <f t="shared" si="6"/>
        <v>467.82996528670208</v>
      </c>
      <c r="M28" s="34">
        <f t="shared" si="7"/>
        <v>0.28710673322069719</v>
      </c>
      <c r="N28" s="34">
        <f t="shared" si="10"/>
        <v>0.31581740654276691</v>
      </c>
      <c r="O28" s="34">
        <f t="shared" si="11"/>
        <v>0.25839605989862746</v>
      </c>
      <c r="P28" s="27"/>
      <c r="Q28" s="39"/>
      <c r="R28" s="39"/>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c r="FQ28" s="11"/>
      <c r="FR28" s="11"/>
      <c r="FS28" s="11"/>
      <c r="FT28" s="11"/>
      <c r="FU28" s="11"/>
      <c r="FV28" s="11"/>
      <c r="FW28" s="11"/>
      <c r="FX28" s="11"/>
      <c r="FY28" s="11"/>
      <c r="FZ28" s="11"/>
      <c r="GA28" s="11"/>
      <c r="GB28" s="11"/>
      <c r="GC28" s="11"/>
      <c r="GD28" s="11"/>
      <c r="GE28" s="11"/>
      <c r="GF28" s="11"/>
      <c r="GG28" s="11"/>
      <c r="GH28" s="11"/>
      <c r="GI28" s="11"/>
      <c r="GJ28" s="11"/>
      <c r="GK28" s="11"/>
      <c r="GL28" s="11"/>
      <c r="GM28" s="11"/>
      <c r="GN28" s="11"/>
      <c r="GO28" s="11"/>
      <c r="GP28" s="11"/>
      <c r="GQ28" s="11"/>
      <c r="GR28" s="11"/>
      <c r="GS28" s="11"/>
      <c r="GT28" s="11"/>
      <c r="GU28" s="11"/>
      <c r="GV28" s="11"/>
      <c r="GW28" s="11"/>
      <c r="GX28" s="11"/>
      <c r="GY28" s="11"/>
      <c r="GZ28" s="11"/>
      <c r="HA28" s="11"/>
      <c r="HB28" s="11"/>
      <c r="HC28" s="11"/>
      <c r="HD28" s="11"/>
      <c r="HE28" s="11"/>
      <c r="HF28" s="11"/>
      <c r="HG28" s="11"/>
      <c r="HH28" s="11"/>
      <c r="HI28" s="11"/>
      <c r="HJ28" s="11"/>
      <c r="HK28" s="11"/>
      <c r="HL28" s="11"/>
      <c r="HM28" s="11"/>
      <c r="HN28" s="11"/>
      <c r="HO28" s="11"/>
      <c r="HP28" s="11"/>
      <c r="HQ28" s="11"/>
      <c r="HR28" s="11"/>
      <c r="HS28" s="11"/>
      <c r="HT28" s="11"/>
      <c r="HU28" s="11"/>
      <c r="HV28" s="11"/>
      <c r="HW28" s="11"/>
      <c r="HX28" s="11"/>
      <c r="HY28" s="11"/>
      <c r="HZ28" s="11"/>
      <c r="IA28" s="11"/>
      <c r="IB28" s="11"/>
      <c r="IC28" s="11"/>
      <c r="ID28" s="11"/>
      <c r="IE28" s="11"/>
      <c r="IF28" s="11"/>
      <c r="IG28" s="11"/>
      <c r="IH28" s="11"/>
      <c r="II28" s="11"/>
      <c r="IJ28" s="11"/>
      <c r="IK28" s="11"/>
      <c r="IL28" s="11"/>
      <c r="IM28" s="11"/>
      <c r="IN28" s="11"/>
      <c r="IO28" s="11"/>
      <c r="IP28" s="11"/>
      <c r="IQ28" s="11"/>
    </row>
    <row r="29" spans="1:253">
      <c r="A29" s="25">
        <f t="shared" si="0"/>
        <v>13</v>
      </c>
      <c r="B29" s="30">
        <f t="shared" si="1"/>
        <v>2880</v>
      </c>
      <c r="C29" s="1">
        <v>129.80000000000001</v>
      </c>
      <c r="D29" s="33">
        <f t="shared" si="2"/>
        <v>511.7162191226613</v>
      </c>
      <c r="E29" s="25"/>
      <c r="F29" s="34">
        <f t="shared" si="3"/>
        <v>0.27161358067903402</v>
      </c>
      <c r="G29" s="36">
        <f t="shared" si="8"/>
        <v>2.4391944103441974</v>
      </c>
      <c r="H29" s="26"/>
      <c r="I29" s="25">
        <f t="shared" si="4"/>
        <v>13</v>
      </c>
      <c r="J29" s="25">
        <f t="shared" si="5"/>
        <v>2880</v>
      </c>
      <c r="K29" s="37">
        <f t="shared" si="9"/>
        <v>124.11687775482956</v>
      </c>
      <c r="L29" s="38">
        <f t="shared" si="6"/>
        <v>505.5900057826949</v>
      </c>
      <c r="M29" s="34">
        <f t="shared" si="7"/>
        <v>0.27840440537304534</v>
      </c>
      <c r="N29" s="34">
        <f t="shared" si="10"/>
        <v>0.30624484591034989</v>
      </c>
      <c r="O29" s="34">
        <f t="shared" si="11"/>
        <v>0.25056396483574078</v>
      </c>
      <c r="P29" s="27"/>
      <c r="Q29" s="39"/>
      <c r="R29" s="39"/>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c r="FQ29" s="11"/>
      <c r="FR29" s="11"/>
      <c r="FS29" s="11"/>
      <c r="FT29" s="11"/>
      <c r="FU29" s="11"/>
      <c r="FV29" s="11"/>
      <c r="FW29" s="11"/>
      <c r="FX29" s="11"/>
      <c r="FY29" s="11"/>
      <c r="FZ29" s="11"/>
      <c r="GA29" s="11"/>
      <c r="GB29" s="11"/>
      <c r="GC29" s="11"/>
      <c r="GD29" s="11"/>
      <c r="GE29" s="11"/>
      <c r="GF29" s="11"/>
      <c r="GG29" s="11"/>
      <c r="GH29" s="11"/>
      <c r="GI29" s="11"/>
      <c r="GJ29" s="11"/>
      <c r="GK29" s="11"/>
      <c r="GL29" s="11"/>
      <c r="GM29" s="11"/>
      <c r="GN29" s="11"/>
      <c r="GO29" s="11"/>
      <c r="GP29" s="11"/>
      <c r="GQ29" s="11"/>
      <c r="GR29" s="11"/>
      <c r="GS29" s="11"/>
      <c r="GT29" s="11"/>
      <c r="GU29" s="11"/>
      <c r="GV29" s="11"/>
      <c r="GW29" s="11"/>
      <c r="GX29" s="11"/>
      <c r="GY29" s="11"/>
      <c r="GZ29" s="11"/>
      <c r="HA29" s="11"/>
      <c r="HB29" s="11"/>
      <c r="HC29" s="11"/>
      <c r="HD29" s="11"/>
      <c r="HE29" s="11"/>
      <c r="HF29" s="11"/>
      <c r="HG29" s="11"/>
      <c r="HH29" s="11"/>
      <c r="HI29" s="11"/>
      <c r="HJ29" s="11"/>
      <c r="HK29" s="11"/>
      <c r="HL29" s="11"/>
      <c r="HM29" s="11"/>
      <c r="HN29" s="11"/>
      <c r="HO29" s="11"/>
      <c r="HP29" s="11"/>
      <c r="HQ29" s="11"/>
      <c r="HR29" s="11"/>
      <c r="HS29" s="11"/>
      <c r="HT29" s="11"/>
      <c r="HU29" s="11"/>
      <c r="HV29" s="11"/>
      <c r="HW29" s="11"/>
      <c r="HX29" s="11"/>
      <c r="HY29" s="11"/>
      <c r="HZ29" s="11"/>
      <c r="IA29" s="11"/>
      <c r="IB29" s="11"/>
      <c r="IC29" s="11"/>
      <c r="ID29" s="11"/>
      <c r="IE29" s="11"/>
      <c r="IF29" s="11"/>
      <c r="IG29" s="11"/>
      <c r="IH29" s="11"/>
      <c r="II29" s="11"/>
      <c r="IJ29" s="11"/>
      <c r="IK29" s="11"/>
      <c r="IL29" s="11"/>
      <c r="IM29" s="11"/>
      <c r="IN29" s="11"/>
      <c r="IO29" s="11"/>
      <c r="IP29" s="11"/>
      <c r="IQ29" s="11"/>
    </row>
    <row r="30" spans="1:253">
      <c r="A30" s="25">
        <f t="shared" si="0"/>
        <v>14</v>
      </c>
      <c r="B30" s="30">
        <f t="shared" si="1"/>
        <v>3120</v>
      </c>
      <c r="C30" s="1">
        <v>169.6</v>
      </c>
      <c r="D30" s="33">
        <f t="shared" si="2"/>
        <v>548.85680928358192</v>
      </c>
      <c r="E30" s="25"/>
      <c r="F30" s="34">
        <f t="shared" si="3"/>
        <v>0.26586506346025374</v>
      </c>
      <c r="G30" s="36">
        <f t="shared" si="8"/>
        <v>2.0112545726538786</v>
      </c>
      <c r="H30" s="26"/>
      <c r="I30" s="25">
        <f t="shared" si="4"/>
        <v>14</v>
      </c>
      <c r="J30" s="25">
        <f t="shared" si="5"/>
        <v>3120</v>
      </c>
      <c r="K30" s="37">
        <f t="shared" si="9"/>
        <v>163.0780322418772</v>
      </c>
      <c r="L30" s="38">
        <f t="shared" si="6"/>
        <v>543.35004627868773</v>
      </c>
      <c r="M30" s="34">
        <f t="shared" si="7"/>
        <v>0.27132204040450719</v>
      </c>
      <c r="N30" s="34">
        <f t="shared" si="10"/>
        <v>0.29845424444495794</v>
      </c>
      <c r="O30" s="34">
        <f t="shared" si="11"/>
        <v>0.24418983636405647</v>
      </c>
      <c r="P30" s="27"/>
      <c r="Q30" s="39"/>
      <c r="R30" s="39"/>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c r="FU30" s="11"/>
      <c r="FV30" s="11"/>
      <c r="FW30" s="11"/>
      <c r="FX30" s="11"/>
      <c r="FY30" s="11"/>
      <c r="FZ30" s="11"/>
      <c r="GA30" s="11"/>
      <c r="GB30" s="11"/>
      <c r="GC30" s="11"/>
      <c r="GD30" s="11"/>
      <c r="GE30" s="11"/>
      <c r="GF30" s="11"/>
      <c r="GG30" s="11"/>
      <c r="GH30" s="11"/>
      <c r="GI30" s="11"/>
      <c r="GJ30" s="11"/>
      <c r="GK30" s="11"/>
      <c r="GL30" s="11"/>
      <c r="GM30" s="11"/>
      <c r="GN30" s="11"/>
      <c r="GO30" s="11"/>
      <c r="GP30" s="11"/>
      <c r="GQ30" s="11"/>
      <c r="GR30" s="11"/>
      <c r="GS30" s="11"/>
      <c r="GT30" s="11"/>
      <c r="GU30" s="11"/>
      <c r="GV30" s="11"/>
      <c r="GW30" s="11"/>
      <c r="GX30" s="11"/>
      <c r="GY30" s="11"/>
      <c r="GZ30" s="11"/>
      <c r="HA30" s="11"/>
      <c r="HB30" s="11"/>
      <c r="HC30" s="11"/>
      <c r="HD30" s="11"/>
      <c r="HE30" s="11"/>
      <c r="HF30" s="11"/>
      <c r="HG30" s="11"/>
      <c r="HH30" s="11"/>
      <c r="HI30" s="11"/>
      <c r="HJ30" s="11"/>
      <c r="HK30" s="11"/>
      <c r="HL30" s="11"/>
      <c r="HM30" s="11"/>
      <c r="HN30" s="11"/>
      <c r="HO30" s="11"/>
      <c r="HP30" s="11"/>
      <c r="HQ30" s="11"/>
      <c r="HR30" s="11"/>
      <c r="HS30" s="11"/>
      <c r="HT30" s="11"/>
      <c r="HU30" s="11"/>
      <c r="HV30" s="11"/>
      <c r="HW30" s="11"/>
      <c r="HX30" s="11"/>
      <c r="HY30" s="11"/>
      <c r="HZ30" s="11"/>
      <c r="IA30" s="11"/>
      <c r="IB30" s="11"/>
      <c r="IC30" s="11"/>
      <c r="ID30" s="11"/>
      <c r="IE30" s="11"/>
      <c r="IF30" s="11"/>
      <c r="IG30" s="11"/>
      <c r="IH30" s="11"/>
      <c r="II30" s="11"/>
      <c r="IJ30" s="11"/>
      <c r="IK30" s="11"/>
      <c r="IL30" s="11"/>
      <c r="IM30" s="11"/>
      <c r="IN30" s="11"/>
      <c r="IO30" s="11"/>
      <c r="IP30" s="11"/>
      <c r="IQ30" s="11"/>
    </row>
    <row r="31" spans="1:253">
      <c r="A31" s="25">
        <f t="shared" si="0"/>
        <v>15</v>
      </c>
      <c r="B31" s="30">
        <f t="shared" si="1"/>
        <v>3360</v>
      </c>
      <c r="C31" s="1">
        <v>216.6</v>
      </c>
      <c r="D31" s="33">
        <f t="shared" si="2"/>
        <v>583.51842556522399</v>
      </c>
      <c r="E31" s="25"/>
      <c r="F31" s="34">
        <f t="shared" si="3"/>
        <v>0.24339720352149147</v>
      </c>
      <c r="G31" s="36">
        <f t="shared" si="8"/>
        <v>8.3375214352066838</v>
      </c>
      <c r="H31" s="26"/>
      <c r="I31" s="25">
        <f t="shared" si="4"/>
        <v>15</v>
      </c>
      <c r="J31" s="25">
        <f t="shared" si="5"/>
        <v>3360</v>
      </c>
      <c r="K31" s="37">
        <f t="shared" si="9"/>
        <v>213.01063958079152</v>
      </c>
      <c r="L31" s="38">
        <f t="shared" si="6"/>
        <v>581.11008677468055</v>
      </c>
      <c r="M31" s="34">
        <f t="shared" si="7"/>
        <v>0.26553635395036984</v>
      </c>
      <c r="N31" s="34">
        <f t="shared" si="10"/>
        <v>0.29208998934540681</v>
      </c>
      <c r="O31" s="34">
        <f t="shared" si="11"/>
        <v>0.23898271855533285</v>
      </c>
      <c r="P31" s="27"/>
      <c r="Q31" s="39"/>
      <c r="R31" s="39"/>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row>
    <row r="32" spans="1:253">
      <c r="A32" s="25">
        <f t="shared" si="0"/>
        <v>16</v>
      </c>
      <c r="B32" s="30">
        <f t="shared" si="1"/>
        <v>3600</v>
      </c>
      <c r="C32" s="1">
        <v>279.8</v>
      </c>
      <c r="D32" s="33">
        <f t="shared" si="2"/>
        <v>620.41171917914903</v>
      </c>
      <c r="E32" s="25"/>
      <c r="F32" s="34">
        <f t="shared" si="3"/>
        <v>0.2546333601933925</v>
      </c>
      <c r="G32" s="36">
        <f t="shared" si="8"/>
        <v>2.3655573075009779</v>
      </c>
      <c r="H32" s="26"/>
      <c r="I32" s="25">
        <f t="shared" si="4"/>
        <v>16</v>
      </c>
      <c r="J32" s="25">
        <f t="shared" si="5"/>
        <v>3600</v>
      </c>
      <c r="K32" s="37">
        <f t="shared" si="9"/>
        <v>276.89502394399176</v>
      </c>
      <c r="L32" s="38">
        <f t="shared" si="6"/>
        <v>618.87012727067338</v>
      </c>
      <c r="M32" s="34">
        <f t="shared" si="7"/>
        <v>0.26080279988422084</v>
      </c>
      <c r="N32" s="34">
        <f t="shared" si="10"/>
        <v>0.28688307987264294</v>
      </c>
      <c r="O32" s="34">
        <f t="shared" si="11"/>
        <v>0.23472251989579876</v>
      </c>
      <c r="P32" s="27"/>
      <c r="Q32" s="39"/>
      <c r="R32" s="39"/>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row>
    <row r="33" spans="1:251">
      <c r="A33" s="25">
        <f t="shared" si="0"/>
        <v>17</v>
      </c>
      <c r="B33" s="30">
        <f t="shared" si="1"/>
        <v>3840</v>
      </c>
      <c r="C33" s="1">
        <v>363.2</v>
      </c>
      <c r="D33" s="33">
        <f t="shared" si="2"/>
        <v>658.55934816304364</v>
      </c>
      <c r="E33" s="25"/>
      <c r="F33" s="34">
        <f t="shared" si="3"/>
        <v>0.25940902021772932</v>
      </c>
      <c r="G33" s="36">
        <f t="shared" si="8"/>
        <v>0.96362780365737544</v>
      </c>
      <c r="H33" s="26"/>
      <c r="I33" s="25">
        <f t="shared" si="4"/>
        <v>17</v>
      </c>
      <c r="J33" s="25">
        <f t="shared" si="5"/>
        <v>3840</v>
      </c>
      <c r="K33" s="37">
        <f t="shared" si="9"/>
        <v>358.5252928836361</v>
      </c>
      <c r="L33" s="38">
        <f t="shared" si="6"/>
        <v>656.6301677666662</v>
      </c>
      <c r="M33" s="34">
        <f t="shared" si="7"/>
        <v>0.25693314103391629</v>
      </c>
      <c r="N33" s="34">
        <f t="shared" si="10"/>
        <v>0.28262645513730794</v>
      </c>
      <c r="O33" s="34">
        <f t="shared" si="11"/>
        <v>0.23123982693052467</v>
      </c>
      <c r="P33" s="27"/>
      <c r="Q33" s="39"/>
      <c r="R33" s="39"/>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c r="FQ33" s="11"/>
      <c r="FR33" s="11"/>
      <c r="FS33" s="11"/>
      <c r="FT33" s="11"/>
      <c r="FU33" s="11"/>
      <c r="FV33" s="11"/>
      <c r="FW33" s="11"/>
      <c r="FX33" s="11"/>
      <c r="FY33" s="11"/>
      <c r="FZ33" s="11"/>
      <c r="GA33" s="11"/>
      <c r="GB33" s="11"/>
      <c r="GC33" s="11"/>
      <c r="GD33" s="11"/>
      <c r="GE33" s="11"/>
      <c r="GF33" s="11"/>
      <c r="GG33" s="11"/>
      <c r="GH33" s="11"/>
      <c r="GI33" s="11"/>
      <c r="GJ33" s="11"/>
      <c r="GK33" s="11"/>
      <c r="GL33" s="11"/>
      <c r="GM33" s="11"/>
      <c r="GN33" s="11"/>
      <c r="GO33" s="11"/>
      <c r="GP33" s="11"/>
      <c r="GQ33" s="11"/>
      <c r="GR33" s="11"/>
      <c r="GS33" s="11"/>
      <c r="GT33" s="11"/>
      <c r="GU33" s="11"/>
      <c r="GV33" s="11"/>
      <c r="GW33" s="11"/>
      <c r="GX33" s="11"/>
      <c r="GY33" s="11"/>
      <c r="GZ33" s="11"/>
      <c r="HA33" s="11"/>
      <c r="HB33" s="11"/>
      <c r="HC33" s="11"/>
      <c r="HD33" s="11"/>
      <c r="HE33" s="11"/>
      <c r="HF33" s="11"/>
      <c r="HG33" s="11"/>
      <c r="HH33" s="11"/>
      <c r="HI33" s="11"/>
      <c r="HJ33" s="11"/>
      <c r="HK33" s="11"/>
      <c r="HL33" s="11"/>
      <c r="HM33" s="11"/>
      <c r="HN33" s="11"/>
      <c r="HO33" s="11"/>
      <c r="HP33" s="11"/>
      <c r="HQ33" s="11"/>
      <c r="HR33" s="11"/>
      <c r="HS33" s="11"/>
      <c r="HT33" s="11"/>
      <c r="HU33" s="11"/>
      <c r="HV33" s="11"/>
      <c r="HW33" s="11"/>
      <c r="HX33" s="11"/>
      <c r="HY33" s="11"/>
      <c r="HZ33" s="11"/>
      <c r="IA33" s="11"/>
      <c r="IB33" s="11"/>
      <c r="IC33" s="11"/>
      <c r="ID33" s="11"/>
      <c r="IE33" s="11"/>
      <c r="IF33" s="11"/>
      <c r="IG33" s="11"/>
      <c r="IH33" s="11"/>
      <c r="II33" s="11"/>
      <c r="IJ33" s="11"/>
      <c r="IK33" s="11"/>
      <c r="IL33" s="11"/>
      <c r="IM33" s="11"/>
      <c r="IN33" s="11"/>
      <c r="IO33" s="11"/>
      <c r="IP33" s="11"/>
      <c r="IQ33" s="11"/>
    </row>
    <row r="34" spans="1:251">
      <c r="A34" s="25">
        <f t="shared" si="0"/>
        <v>18</v>
      </c>
      <c r="B34" s="30">
        <f t="shared" si="1"/>
        <v>4080</v>
      </c>
      <c r="C34" s="1">
        <v>462.7</v>
      </c>
      <c r="D34" s="33">
        <f t="shared" si="2"/>
        <v>694.39020826265903</v>
      </c>
      <c r="E34" s="25"/>
      <c r="F34" s="34">
        <f t="shared" si="3"/>
        <v>0.2409492674657949</v>
      </c>
      <c r="G34" s="36">
        <f t="shared" si="8"/>
        <v>5.0279870123998922</v>
      </c>
      <c r="H34" s="26"/>
      <c r="I34" s="25">
        <f t="shared" si="4"/>
        <v>18</v>
      </c>
      <c r="J34" s="25">
        <f t="shared" si="5"/>
        <v>4080</v>
      </c>
      <c r="K34" s="35">
        <f>IF(C34="","",C34)</f>
        <v>462.7</v>
      </c>
      <c r="L34" s="38">
        <f>IF(C34="","",(71.498068+94.593053*LOG(K34,10)+41.912053*POWER(LOG(K34,10),2)+9.8247004*POWER(LOG(K34,10),3)+0.28175407*POWER(LOG(K34,10),4)-1.1878455*POWER(LOG(K34,10),5)-0.18014349*POWER(LOG(K34,10),6)+0.14710899*POWER(LOG(K34,10),7)-0.017046845*POWER(LOG(K34,10),8)))</f>
        <v>694.39020826265903</v>
      </c>
      <c r="M34" s="34">
        <f t="shared" si="7"/>
        <v>0.2537055495467429</v>
      </c>
      <c r="N34" s="34">
        <f t="shared" si="10"/>
        <v>0.27907610450141718</v>
      </c>
      <c r="O34" s="34">
        <f t="shared" si="11"/>
        <v>0.2283349945920686</v>
      </c>
      <c r="P34" s="27"/>
      <c r="Q34" s="39"/>
      <c r="R34" s="39"/>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c r="FQ34" s="11"/>
      <c r="FR34" s="11"/>
      <c r="FS34" s="11"/>
      <c r="FT34" s="11"/>
      <c r="FU34" s="11"/>
      <c r="FV34" s="11"/>
      <c r="FW34" s="11"/>
      <c r="FX34" s="11"/>
      <c r="FY34" s="11"/>
      <c r="FZ34" s="11"/>
      <c r="GA34" s="11"/>
      <c r="GB34" s="11"/>
      <c r="GC34" s="11"/>
      <c r="GD34" s="11"/>
      <c r="GE34" s="11"/>
      <c r="GF34" s="11"/>
      <c r="GG34" s="11"/>
      <c r="GH34" s="11"/>
      <c r="GI34" s="11"/>
      <c r="GJ34" s="11"/>
      <c r="GK34" s="11"/>
      <c r="GL34" s="11"/>
      <c r="GM34" s="11"/>
      <c r="GN34" s="11"/>
      <c r="GO34" s="11"/>
      <c r="GP34" s="11"/>
      <c r="GQ34" s="11"/>
      <c r="GR34" s="11"/>
      <c r="GS34" s="11"/>
      <c r="GT34" s="11"/>
      <c r="GU34" s="11"/>
      <c r="GV34" s="11"/>
      <c r="GW34" s="11"/>
      <c r="GX34" s="11"/>
      <c r="GY34" s="11"/>
      <c r="GZ34" s="11"/>
      <c r="HA34" s="11"/>
      <c r="HB34" s="11"/>
      <c r="HC34" s="11"/>
      <c r="HD34" s="11"/>
      <c r="HE34" s="11"/>
      <c r="HF34" s="11"/>
      <c r="HG34" s="11"/>
      <c r="HH34" s="11"/>
      <c r="HI34" s="11"/>
      <c r="HJ34" s="11"/>
      <c r="HK34" s="11"/>
      <c r="HL34" s="11"/>
      <c r="HM34" s="11"/>
      <c r="HN34" s="11"/>
      <c r="HO34" s="11"/>
      <c r="HP34" s="11"/>
      <c r="HQ34" s="11"/>
      <c r="HR34" s="11"/>
      <c r="HS34" s="11"/>
      <c r="HT34" s="11"/>
      <c r="HU34" s="11"/>
      <c r="HV34" s="11"/>
      <c r="HW34" s="11"/>
      <c r="HX34" s="11"/>
      <c r="HY34" s="11"/>
      <c r="HZ34" s="11"/>
      <c r="IA34" s="11"/>
      <c r="IB34" s="11"/>
      <c r="IC34" s="11"/>
      <c r="ID34" s="11"/>
      <c r="IE34" s="11"/>
      <c r="IF34" s="11"/>
      <c r="IG34" s="11"/>
      <c r="IH34" s="11"/>
      <c r="II34" s="11"/>
      <c r="IJ34" s="11"/>
      <c r="IK34" s="11"/>
      <c r="IL34" s="11"/>
      <c r="IM34" s="11"/>
      <c r="IN34" s="11"/>
      <c r="IO34" s="11"/>
      <c r="IP34" s="11"/>
      <c r="IQ34" s="11"/>
    </row>
    <row r="35" spans="1:251">
      <c r="A35" s="25"/>
      <c r="B35" s="30"/>
      <c r="C35" s="40"/>
      <c r="D35" s="33"/>
      <c r="E35" s="25"/>
      <c r="F35" s="34"/>
      <c r="G35" s="36"/>
      <c r="H35" s="26"/>
      <c r="I35" s="25"/>
      <c r="J35" s="25"/>
      <c r="K35" s="35"/>
      <c r="L35" s="34"/>
      <c r="M35" s="34"/>
      <c r="N35" s="34"/>
      <c r="O35" s="34"/>
      <c r="P35" s="27"/>
      <c r="Q35" s="39"/>
      <c r="R35" s="39"/>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c r="FQ35" s="11"/>
      <c r="FR35" s="11"/>
      <c r="FS35" s="11"/>
      <c r="FT35" s="11"/>
      <c r="FU35" s="11"/>
      <c r="FV35" s="11"/>
      <c r="FW35" s="11"/>
      <c r="FX35" s="11"/>
      <c r="FY35" s="11"/>
      <c r="FZ35" s="11"/>
      <c r="GA35" s="11"/>
      <c r="GB35" s="11"/>
      <c r="GC35" s="11"/>
      <c r="GD35" s="11"/>
      <c r="GE35" s="11"/>
      <c r="GF35" s="11"/>
      <c r="GG35" s="11"/>
      <c r="GH35" s="11"/>
      <c r="GI35" s="11"/>
      <c r="GJ35" s="11"/>
      <c r="GK35" s="11"/>
      <c r="GL35" s="11"/>
      <c r="GM35" s="11"/>
      <c r="GN35" s="11"/>
      <c r="GO35" s="11"/>
      <c r="GP35" s="11"/>
      <c r="GQ35" s="11"/>
      <c r="GR35" s="11"/>
      <c r="GS35" s="11"/>
      <c r="GT35" s="11"/>
      <c r="GU35" s="11"/>
      <c r="GV35" s="11"/>
      <c r="GW35" s="11"/>
      <c r="GX35" s="11"/>
      <c r="GY35" s="11"/>
      <c r="GZ35" s="11"/>
      <c r="HA35" s="11"/>
      <c r="HB35" s="11"/>
      <c r="HC35" s="11"/>
      <c r="HD35" s="11"/>
      <c r="HE35" s="11"/>
      <c r="HF35" s="11"/>
      <c r="HG35" s="11"/>
      <c r="HH35" s="11"/>
      <c r="HI35" s="11"/>
      <c r="HJ35" s="11"/>
      <c r="HK35" s="11"/>
      <c r="HL35" s="11"/>
      <c r="HM35" s="11"/>
      <c r="HN35" s="11"/>
      <c r="HO35" s="11"/>
      <c r="HP35" s="11"/>
      <c r="HQ35" s="11"/>
      <c r="HR35" s="11"/>
      <c r="HS35" s="11"/>
      <c r="HT35" s="11"/>
      <c r="HU35" s="11"/>
      <c r="HV35" s="11"/>
      <c r="HW35" s="11"/>
      <c r="HX35" s="11"/>
      <c r="HY35" s="11"/>
      <c r="HZ35" s="11"/>
      <c r="IA35" s="11"/>
      <c r="IB35" s="11"/>
      <c r="IC35" s="11"/>
      <c r="ID35" s="11"/>
      <c r="IE35" s="11"/>
      <c r="IF35" s="11"/>
      <c r="IG35" s="11"/>
      <c r="IH35" s="11"/>
      <c r="II35" s="11"/>
      <c r="IJ35" s="11"/>
      <c r="IK35" s="11"/>
      <c r="IL35" s="11"/>
      <c r="IM35" s="11"/>
      <c r="IN35" s="11"/>
      <c r="IO35" s="11"/>
      <c r="IP35" s="11"/>
      <c r="IQ35" s="11"/>
    </row>
    <row r="36" spans="1:251">
      <c r="K36" s="41"/>
      <c r="N36" s="42"/>
      <c r="O36" s="16"/>
    </row>
    <row r="37" spans="1:251" ht="15">
      <c r="A37" s="43" t="s">
        <v>12</v>
      </c>
      <c r="K37" s="42" t="s">
        <v>13</v>
      </c>
      <c r="L37" s="44"/>
      <c r="N37" s="42"/>
      <c r="O37" s="16"/>
    </row>
    <row r="38" spans="1:251">
      <c r="J38" s="45" t="s">
        <v>14</v>
      </c>
      <c r="K38" s="44">
        <f>IF(C34="","",(L34-L17)/J34)</f>
        <v>0.15733350206663677</v>
      </c>
      <c r="N38" s="42"/>
      <c r="O38" s="16"/>
    </row>
    <row r="39" spans="1:251">
      <c r="J39" s="45" t="s">
        <v>15</v>
      </c>
      <c r="K39" s="42">
        <f>IF(C17="","",L17)</f>
        <v>52.469519830781024</v>
      </c>
      <c r="L39" s="44"/>
      <c r="N39" s="42"/>
      <c r="O39" s="16"/>
    </row>
    <row r="40" spans="1:251">
      <c r="L40" s="16"/>
      <c r="N40" s="42"/>
      <c r="O40" s="16"/>
    </row>
    <row r="41" spans="1:251">
      <c r="J41" s="41"/>
      <c r="M41" s="42"/>
      <c r="N41" s="16"/>
    </row>
    <row r="64" spans="1:256" ht="18" customHeight="1">
      <c r="A64" s="46" t="s">
        <v>19</v>
      </c>
      <c r="B64" s="47"/>
      <c r="C64" s="47"/>
      <c r="D64" s="47"/>
      <c r="E64" s="47"/>
      <c r="F64" s="47"/>
      <c r="G64" s="47"/>
      <c r="H64" s="48"/>
      <c r="I64" s="48"/>
      <c r="J64" s="48"/>
      <c r="K64" s="48"/>
      <c r="L64" s="48"/>
      <c r="M64" s="48"/>
      <c r="N64" s="48"/>
      <c r="O64" s="48"/>
      <c r="P64" s="49"/>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1"/>
      <c r="CA64" s="11"/>
      <c r="CB64" s="11"/>
      <c r="CC64" s="11"/>
      <c r="CD64" s="11"/>
      <c r="CE64" s="11"/>
      <c r="CF64" s="11"/>
      <c r="CG64" s="11"/>
      <c r="CH64" s="11"/>
      <c r="CI64" s="11"/>
      <c r="CJ64" s="11"/>
      <c r="CK64" s="11"/>
      <c r="CL64" s="11"/>
      <c r="CM64" s="11"/>
      <c r="CN64" s="11"/>
      <c r="CO64" s="11"/>
      <c r="CP64" s="11"/>
      <c r="CQ64" s="11"/>
      <c r="CR64" s="11"/>
      <c r="CS64" s="11"/>
      <c r="CT64" s="11"/>
      <c r="CU64" s="11"/>
      <c r="CV64" s="11"/>
      <c r="CW64" s="11"/>
      <c r="CX64" s="11"/>
      <c r="CY64" s="11"/>
      <c r="CZ64" s="11"/>
      <c r="DA64" s="11"/>
      <c r="DB64" s="11"/>
      <c r="DC64" s="11"/>
      <c r="DD64" s="11"/>
      <c r="DE64" s="11"/>
      <c r="DF64" s="11"/>
      <c r="DG64" s="11"/>
      <c r="DH64" s="11"/>
      <c r="DI64" s="11"/>
      <c r="DJ64" s="11"/>
      <c r="DK64" s="11"/>
      <c r="DL64" s="11"/>
      <c r="DM64" s="11"/>
      <c r="DN64" s="11"/>
      <c r="DO64" s="11"/>
      <c r="DP64" s="11"/>
      <c r="DQ64" s="11"/>
      <c r="DR64" s="11"/>
      <c r="DS64" s="11"/>
      <c r="DT64" s="11"/>
      <c r="DU64" s="11"/>
      <c r="DV64" s="11"/>
      <c r="DW64" s="11"/>
      <c r="DX64" s="11"/>
      <c r="DY64" s="11"/>
      <c r="DZ64" s="11"/>
      <c r="EA64" s="11"/>
      <c r="EB64" s="11"/>
      <c r="EC64" s="11"/>
      <c r="ED64" s="11"/>
      <c r="EE64" s="11"/>
      <c r="EF64" s="11"/>
      <c r="EG64" s="11"/>
      <c r="EH64" s="11"/>
      <c r="EI64" s="11"/>
      <c r="EJ64" s="11"/>
      <c r="EK64" s="11"/>
      <c r="EL64" s="11"/>
      <c r="EM64" s="11"/>
      <c r="EN64" s="11"/>
      <c r="EO64" s="11"/>
      <c r="EP64" s="11"/>
      <c r="EQ64" s="11"/>
      <c r="ER64" s="11"/>
      <c r="ES64" s="11"/>
      <c r="ET64" s="11"/>
      <c r="EU64" s="11"/>
      <c r="EV64" s="11"/>
      <c r="EW64" s="11"/>
      <c r="EX64" s="11"/>
      <c r="EY64" s="11"/>
      <c r="EZ64" s="11"/>
      <c r="FA64" s="11"/>
      <c r="FB64" s="11"/>
      <c r="FC64" s="11"/>
      <c r="FD64" s="11"/>
      <c r="FE64" s="11"/>
      <c r="FF64" s="11"/>
      <c r="FG64" s="11"/>
      <c r="FH64" s="11"/>
      <c r="FI64" s="11"/>
      <c r="FJ64" s="11"/>
      <c r="FK64" s="11"/>
      <c r="FL64" s="11"/>
      <c r="FM64" s="11"/>
      <c r="FN64" s="11"/>
      <c r="FO64" s="11"/>
      <c r="FP64" s="11"/>
      <c r="FQ64" s="11"/>
      <c r="FR64" s="11"/>
      <c r="FS64" s="11"/>
      <c r="FT64" s="11"/>
      <c r="FU64" s="11"/>
      <c r="FV64" s="11"/>
      <c r="FW64" s="11"/>
      <c r="FX64" s="11"/>
      <c r="FY64" s="11"/>
      <c r="FZ64" s="11"/>
      <c r="GA64" s="11"/>
      <c r="GB64" s="11"/>
      <c r="GC64" s="11"/>
      <c r="GD64" s="11"/>
      <c r="GE64" s="11"/>
      <c r="GF64" s="11"/>
      <c r="GG64" s="11"/>
      <c r="GH64" s="11"/>
      <c r="GI64" s="11"/>
      <c r="GJ64" s="11"/>
      <c r="GK64" s="11"/>
      <c r="GL64" s="11"/>
      <c r="GM64" s="11"/>
      <c r="GN64" s="11"/>
      <c r="GO64" s="11"/>
      <c r="GP64" s="11"/>
      <c r="GQ64" s="11"/>
      <c r="GR64" s="11"/>
      <c r="GS64" s="11"/>
      <c r="GT64" s="11"/>
      <c r="GU64" s="11"/>
      <c r="GV64" s="11"/>
      <c r="GW64" s="11"/>
      <c r="GX64" s="11"/>
      <c r="GY64" s="11"/>
      <c r="GZ64" s="11"/>
      <c r="HA64" s="11"/>
      <c r="HB64" s="11"/>
      <c r="HC64" s="11"/>
      <c r="HD64" s="11"/>
      <c r="HE64" s="11"/>
      <c r="HF64" s="11"/>
      <c r="HG64" s="11"/>
      <c r="HH64" s="11"/>
      <c r="HI64" s="11"/>
      <c r="HJ64" s="11"/>
      <c r="HK64" s="11"/>
      <c r="HL64" s="11"/>
      <c r="HM64" s="11"/>
      <c r="HN64" s="11"/>
      <c r="HO64" s="11"/>
      <c r="HP64" s="11"/>
      <c r="HQ64" s="11"/>
      <c r="HR64" s="11"/>
      <c r="HS64" s="11"/>
      <c r="HT64" s="11"/>
      <c r="HU64" s="11"/>
      <c r="HV64" s="11"/>
      <c r="HW64" s="11"/>
      <c r="HX64" s="11"/>
      <c r="HY64" s="11"/>
      <c r="HZ64" s="11"/>
      <c r="IA64" s="11"/>
      <c r="IB64" s="11"/>
      <c r="IC64" s="11"/>
      <c r="ID64" s="11"/>
      <c r="IE64" s="11"/>
      <c r="IF64" s="11"/>
      <c r="IG64" s="11"/>
      <c r="IH64" s="11"/>
      <c r="II64" s="11"/>
      <c r="IJ64" s="11"/>
      <c r="IK64" s="11"/>
      <c r="IL64" s="11"/>
      <c r="IM64" s="11"/>
      <c r="IN64" s="11"/>
      <c r="IO64" s="11"/>
      <c r="IP64" s="11"/>
      <c r="IQ64" s="11"/>
      <c r="IR64" s="11"/>
      <c r="IS64" s="11"/>
      <c r="IT64" s="11"/>
      <c r="IU64" s="11"/>
      <c r="IV64" s="11"/>
    </row>
    <row r="65" spans="1:16">
      <c r="A65" s="50"/>
      <c r="B65" s="18"/>
      <c r="C65" s="18"/>
      <c r="D65" s="18"/>
      <c r="E65" s="18"/>
      <c r="F65" s="18"/>
      <c r="G65" s="18"/>
    </row>
    <row r="66" spans="1:16">
      <c r="A66" s="24"/>
      <c r="B66" s="25"/>
      <c r="C66" s="25"/>
      <c r="D66" s="25"/>
      <c r="E66" s="25"/>
      <c r="F66" s="25"/>
      <c r="G66" s="25"/>
      <c r="H66" s="26"/>
      <c r="I66" s="26"/>
      <c r="J66" s="26"/>
      <c r="K66" s="26"/>
      <c r="L66" s="26"/>
      <c r="M66" s="26"/>
      <c r="N66" s="26"/>
      <c r="O66" s="26"/>
      <c r="P66" s="26"/>
    </row>
    <row r="67" spans="1:16">
      <c r="A67" s="28" t="s">
        <v>0</v>
      </c>
      <c r="B67" s="25"/>
      <c r="C67" s="25"/>
      <c r="D67" s="25"/>
      <c r="E67" s="25"/>
      <c r="F67" s="25"/>
      <c r="G67" s="25"/>
      <c r="H67" s="26"/>
      <c r="I67" s="29" t="s">
        <v>1</v>
      </c>
      <c r="J67" s="26"/>
      <c r="K67" s="30"/>
      <c r="L67" s="25"/>
      <c r="M67" s="26"/>
      <c r="N67" s="214" t="s">
        <v>6</v>
      </c>
      <c r="O67" s="214"/>
      <c r="P67" s="26"/>
    </row>
    <row r="68" spans="1:16">
      <c r="A68" s="25" t="s">
        <v>2</v>
      </c>
      <c r="B68" s="25"/>
      <c r="C68" s="25" t="s">
        <v>3</v>
      </c>
      <c r="D68" s="25" t="s">
        <v>4</v>
      </c>
      <c r="E68" s="25"/>
      <c r="F68" s="25"/>
      <c r="G68" s="25" t="s">
        <v>5</v>
      </c>
      <c r="H68" s="26"/>
      <c r="I68" s="25" t="s">
        <v>2</v>
      </c>
      <c r="J68" s="26"/>
      <c r="K68" s="25" t="s">
        <v>3</v>
      </c>
      <c r="L68" s="25" t="s">
        <v>4</v>
      </c>
      <c r="M68" s="31"/>
      <c r="N68" s="25" t="s">
        <v>27</v>
      </c>
      <c r="O68" s="31" t="s">
        <v>28</v>
      </c>
      <c r="P68" s="26"/>
    </row>
    <row r="69" spans="1:16">
      <c r="A69" s="25" t="s">
        <v>7</v>
      </c>
      <c r="B69" s="25" t="s">
        <v>8</v>
      </c>
      <c r="C69" s="31" t="s">
        <v>9</v>
      </c>
      <c r="D69" s="25" t="s">
        <v>10</v>
      </c>
      <c r="E69" s="25"/>
      <c r="F69" s="25" t="s">
        <v>6</v>
      </c>
      <c r="G69" s="25" t="s">
        <v>11</v>
      </c>
      <c r="H69" s="26"/>
      <c r="I69" s="25" t="s">
        <v>7</v>
      </c>
      <c r="J69" s="25" t="s">
        <v>8</v>
      </c>
      <c r="K69" s="31" t="s">
        <v>9</v>
      </c>
      <c r="L69" s="25" t="s">
        <v>10</v>
      </c>
      <c r="M69" s="31" t="s">
        <v>6</v>
      </c>
      <c r="N69" s="32">
        <f>C6/100</f>
        <v>0.1</v>
      </c>
      <c r="O69" s="32">
        <f>C6/100</f>
        <v>0.1</v>
      </c>
      <c r="P69" s="26"/>
    </row>
    <row r="70" spans="1:16">
      <c r="A70" s="25">
        <v>1</v>
      </c>
      <c r="B70" s="30">
        <v>0</v>
      </c>
      <c r="C70" s="1">
        <v>0.34</v>
      </c>
      <c r="D70" s="33">
        <f>IF($C$87="","",(71.498068+94.593053*LOG(C70,10)+41.912053*POWER(LOG(C70,10),2)+9.8247004*POWER(LOG(C70,10),3)+0.28175407*POWER(LOG(C70,10),4)-1.1878455*POWER(LOG(C70,10),5)-0.18014349*POWER(LOG(C70,10),6)+0.14710899*POWER(LOG(C70,10),7)-0.017046845*POWER(LOG(C70,10),8)))</f>
        <v>35.406715150237773</v>
      </c>
      <c r="E70" s="25"/>
      <c r="F70" s="25"/>
      <c r="G70" s="25"/>
      <c r="H70" s="26"/>
      <c r="I70" s="25">
        <v>1</v>
      </c>
      <c r="J70" s="25">
        <v>0</v>
      </c>
      <c r="K70" s="35">
        <f>IF(C70="","",C70)</f>
        <v>0.34</v>
      </c>
      <c r="L70" s="34">
        <f>IF(C70="","",(71.498068+94.593053*LOG(K70,10)+41.912053*POWER(LOG(K70,10),2)+9.8247004*POWER(LOG(K70,10),3)+0.28175407*POWER(LOG(K70,10),4)-1.1878455*POWER(LOG(K70,10),5)-0.18014349*POWER(LOG(K70,10),6)+0.14710899*POWER(LOG(K70,10),7)-0.017046845*POWER(LOG(K70,10),8)))</f>
        <v>35.406715150237773</v>
      </c>
      <c r="M70" s="26"/>
      <c r="N70" s="26"/>
      <c r="O70" s="26"/>
      <c r="P70" s="26"/>
    </row>
    <row r="71" spans="1:16">
      <c r="A71" s="25">
        <f t="shared" ref="A71:A87" si="12">A70+1</f>
        <v>2</v>
      </c>
      <c r="B71" s="30">
        <f t="shared" ref="B71:B87" si="13">B70+240</f>
        <v>240</v>
      </c>
      <c r="C71" s="1">
        <v>1.69</v>
      </c>
      <c r="D71" s="33">
        <f t="shared" ref="D71:D87" si="14">IF($C$87="","",(71.498068+94.593053*LOG(C71,10)+41.912053*POWER(LOG(C71,10),2)+9.8247004*POWER(LOG(C71,10),3)+0.28175407*POWER(LOG(C71,10),4)-1.1878455*POWER(LOG(C71,10),5)-0.18014349*POWER(LOG(C71,10),6)+0.14710899*POWER(LOG(C71,10),7)-0.017046845*POWER(LOG(C71,10),8)))</f>
        <v>95.347440012201474</v>
      </c>
      <c r="E71" s="25"/>
      <c r="F71" s="34">
        <f>IF($C$87="","",((C71-C70)/(0.5*(C71+C70))))</f>
        <v>1.3300492610837438</v>
      </c>
      <c r="G71" s="36">
        <f>IF(C71="","",(ABS(M71-F71)/M71)*100)</f>
        <v>28.764229920476058</v>
      </c>
      <c r="H71" s="26"/>
      <c r="I71" s="25">
        <f t="shared" ref="I71:I87" si="15">I70+1</f>
        <v>2</v>
      </c>
      <c r="J71" s="25">
        <f t="shared" ref="J71:J87" si="16">J70+240</f>
        <v>240</v>
      </c>
      <c r="K71" s="37">
        <f>IF($C$87="","",(10^((-1.3011877+(0.080242636*LN(L71))+(0.13646699*(LN(L71))^2)+(-0.025468404*(LN(L71))^3)+(0.0013635334*(LN(L71))^4))/(1+(-0.025840191*LN(L71))+(-0.10320229*(LN(L71))^2)+(0.02874562*(LN(L71))^3)+(-0.0031978977*(LN(L71))^4)+(0.00012992634*(LN(L71))^5)))))</f>
        <v>1.0663153160102852</v>
      </c>
      <c r="L71" s="38">
        <f t="shared" ref="L71:L86" si="17">IF($C$87="","",($K$91*J71+$K$92))</f>
        <v>74.170450039203729</v>
      </c>
      <c r="M71" s="34">
        <f>IF($C$87="","",((K71-K70)/(0.5*(K71+K70))))</f>
        <v>1.0329338061549962</v>
      </c>
      <c r="N71" s="34">
        <f>IF($C$34="","",M71+(M71*$N$69))</f>
        <v>1.1362271867704958</v>
      </c>
      <c r="O71" s="34">
        <f>IF($C$34="","",M71-(M71*$O$69))</f>
        <v>0.92964042553949655</v>
      </c>
      <c r="P71" s="26"/>
    </row>
    <row r="72" spans="1:16">
      <c r="A72" s="25">
        <f t="shared" si="12"/>
        <v>3</v>
      </c>
      <c r="B72" s="30">
        <f t="shared" si="13"/>
        <v>480</v>
      </c>
      <c r="C72" s="1">
        <v>3.57</v>
      </c>
      <c r="D72" s="33">
        <f t="shared" si="14"/>
        <v>138.19891404461436</v>
      </c>
      <c r="E72" s="25"/>
      <c r="F72" s="34">
        <f t="shared" ref="F72:F87" si="18">IF($C$87="","",((C72-C71)/(0.5*(C72+C71))))</f>
        <v>0.71482889733840305</v>
      </c>
      <c r="G72" s="36">
        <f t="shared" ref="G72:G87" si="19">IF(C72="","",(ABS(M72-F72)/M72)*100)</f>
        <v>4.949385899785141</v>
      </c>
      <c r="H72" s="26"/>
      <c r="I72" s="25">
        <f t="shared" si="15"/>
        <v>3</v>
      </c>
      <c r="J72" s="25">
        <f t="shared" si="16"/>
        <v>480</v>
      </c>
      <c r="K72" s="37">
        <f t="shared" ref="K72:K86" si="20">IF($C$87="","",(10^((-1.3011877+(0.080242636*LN(L72))+(0.13646699*(LN(L72))^2)+(-0.025468404*(LN(L72))^3)+(0.0013635334*(LN(L72))^4))/(1+(-0.025840191*LN(L72))+(-0.10320229*(LN(L72))^2)+(0.02874562*(LN(L72))^3)+(-0.0031978977*(LN(L72))^4)+(0.00012992634*(LN(L72))^5)))))</f>
        <v>2.3515010830885803</v>
      </c>
      <c r="L72" s="38">
        <f t="shared" si="17"/>
        <v>112.93418492816969</v>
      </c>
      <c r="M72" s="34">
        <f t="shared" ref="M72:M87" si="21">IF($C$87="","",((K72-K71)/(0.5*(K72+K71))))</f>
        <v>0.75205079325919599</v>
      </c>
      <c r="N72" s="34">
        <f>IF($C$34="","",M72+(M72*$N$69))</f>
        <v>0.82725587258511557</v>
      </c>
      <c r="O72" s="34">
        <f t="shared" ref="O72:O87" si="22">IF($C$34="","",M72-(M72*$O$69))</f>
        <v>0.67684571393327642</v>
      </c>
      <c r="P72" s="26"/>
    </row>
    <row r="73" spans="1:16">
      <c r="A73" s="25">
        <f t="shared" si="12"/>
        <v>4</v>
      </c>
      <c r="B73" s="30">
        <f t="shared" si="13"/>
        <v>720</v>
      </c>
      <c r="C73" s="1">
        <v>6.23</v>
      </c>
      <c r="D73" s="33">
        <f t="shared" si="14"/>
        <v>177.75109813720042</v>
      </c>
      <c r="E73" s="25"/>
      <c r="F73" s="34">
        <f t="shared" si="18"/>
        <v>0.54285714285714293</v>
      </c>
      <c r="G73" s="36">
        <f t="shared" si="19"/>
        <v>9.4492722197316628</v>
      </c>
      <c r="H73" s="26"/>
      <c r="I73" s="25">
        <f t="shared" si="15"/>
        <v>4</v>
      </c>
      <c r="J73" s="25">
        <f t="shared" si="16"/>
        <v>720</v>
      </c>
      <c r="K73" s="37">
        <f t="shared" si="20"/>
        <v>4.3647040917349242</v>
      </c>
      <c r="L73" s="38">
        <f t="shared" si="17"/>
        <v>151.69791981713564</v>
      </c>
      <c r="M73" s="34">
        <f t="shared" si="21"/>
        <v>0.59950610686912165</v>
      </c>
      <c r="N73" s="34">
        <f t="shared" ref="N73:N87" si="23">IF($C$34="","",M73+(M73*$N$69))</f>
        <v>0.65945671755603386</v>
      </c>
      <c r="O73" s="34">
        <f t="shared" si="22"/>
        <v>0.53955549618220944</v>
      </c>
      <c r="P73" s="26"/>
    </row>
    <row r="74" spans="1:16">
      <c r="A74" s="25">
        <f t="shared" si="12"/>
        <v>5</v>
      </c>
      <c r="B74" s="30">
        <f t="shared" si="13"/>
        <v>960</v>
      </c>
      <c r="C74" s="1">
        <v>9.81</v>
      </c>
      <c r="D74" s="33">
        <f t="shared" si="14"/>
        <v>215.18565480452443</v>
      </c>
      <c r="E74" s="25"/>
      <c r="F74" s="34">
        <f t="shared" si="18"/>
        <v>0.44638403990024939</v>
      </c>
      <c r="G74" s="36">
        <f t="shared" si="19"/>
        <v>11.702225191719039</v>
      </c>
      <c r="H74" s="26"/>
      <c r="I74" s="25">
        <f t="shared" si="15"/>
        <v>5</v>
      </c>
      <c r="J74" s="25">
        <f t="shared" si="16"/>
        <v>960</v>
      </c>
      <c r="K74" s="37">
        <f t="shared" si="20"/>
        <v>7.3176843736090547</v>
      </c>
      <c r="L74" s="38">
        <f t="shared" si="17"/>
        <v>190.4616547061016</v>
      </c>
      <c r="M74" s="34">
        <f t="shared" si="21"/>
        <v>0.50554392890361433</v>
      </c>
      <c r="N74" s="34">
        <f t="shared" si="23"/>
        <v>0.55609832179397578</v>
      </c>
      <c r="O74" s="34">
        <f t="shared" si="22"/>
        <v>0.45498953601325287</v>
      </c>
      <c r="P74" s="26"/>
    </row>
    <row r="75" spans="1:16">
      <c r="A75" s="25">
        <f t="shared" si="12"/>
        <v>6</v>
      </c>
      <c r="B75" s="30">
        <f t="shared" si="13"/>
        <v>1200</v>
      </c>
      <c r="C75" s="1">
        <v>15.29</v>
      </c>
      <c r="D75" s="33">
        <f t="shared" si="14"/>
        <v>256.3572644304619</v>
      </c>
      <c r="E75" s="25"/>
      <c r="F75" s="34">
        <f t="shared" si="18"/>
        <v>0.43665338645418311</v>
      </c>
      <c r="G75" s="36">
        <f t="shared" si="19"/>
        <v>1.402579150196219</v>
      </c>
      <c r="H75" s="26"/>
      <c r="I75" s="25">
        <f t="shared" si="15"/>
        <v>6</v>
      </c>
      <c r="J75" s="25">
        <f t="shared" si="16"/>
        <v>1200</v>
      </c>
      <c r="K75" s="37">
        <f t="shared" si="20"/>
        <v>11.480130807909637</v>
      </c>
      <c r="L75" s="38">
        <f t="shared" si="17"/>
        <v>229.22538959506755</v>
      </c>
      <c r="M75" s="34">
        <f t="shared" si="21"/>
        <v>0.44286491744986867</v>
      </c>
      <c r="N75" s="34">
        <f t="shared" si="23"/>
        <v>0.48715140919485556</v>
      </c>
      <c r="O75" s="34">
        <f t="shared" si="22"/>
        <v>0.39857842570488178</v>
      </c>
      <c r="P75" s="26"/>
    </row>
    <row r="76" spans="1:16">
      <c r="A76" s="25">
        <f t="shared" si="12"/>
        <v>7</v>
      </c>
      <c r="B76" s="30">
        <f t="shared" si="13"/>
        <v>1440</v>
      </c>
      <c r="C76" s="1">
        <v>21.39</v>
      </c>
      <c r="D76" s="33">
        <f t="shared" si="14"/>
        <v>290.46737760645277</v>
      </c>
      <c r="E76" s="25"/>
      <c r="F76" s="34">
        <f t="shared" si="18"/>
        <v>0.33260632497273729</v>
      </c>
      <c r="G76" s="36">
        <f t="shared" si="19"/>
        <v>16.576472888477596</v>
      </c>
      <c r="H76" s="26"/>
      <c r="I76" s="25">
        <f t="shared" si="15"/>
        <v>7</v>
      </c>
      <c r="J76" s="25">
        <f t="shared" si="16"/>
        <v>1440</v>
      </c>
      <c r="K76" s="37">
        <f t="shared" si="20"/>
        <v>17.196825766718462</v>
      </c>
      <c r="L76" s="38">
        <f t="shared" si="17"/>
        <v>267.98912448403348</v>
      </c>
      <c r="M76" s="34">
        <f t="shared" si="21"/>
        <v>0.39869607110725713</v>
      </c>
      <c r="N76" s="34">
        <f t="shared" si="23"/>
        <v>0.43856567821798287</v>
      </c>
      <c r="O76" s="34">
        <f t="shared" si="22"/>
        <v>0.3588264639965314</v>
      </c>
      <c r="P76" s="26"/>
    </row>
    <row r="77" spans="1:16">
      <c r="A77" s="25">
        <f t="shared" si="12"/>
        <v>8</v>
      </c>
      <c r="B77" s="30">
        <f t="shared" si="13"/>
        <v>1680</v>
      </c>
      <c r="C77" s="1">
        <v>30.43</v>
      </c>
      <c r="D77" s="33">
        <f t="shared" si="14"/>
        <v>328.92633527009468</v>
      </c>
      <c r="E77" s="25"/>
      <c r="F77" s="34">
        <f t="shared" si="18"/>
        <v>0.34890003859513696</v>
      </c>
      <c r="G77" s="36">
        <f t="shared" si="19"/>
        <v>4.7541124267927213</v>
      </c>
      <c r="H77" s="26"/>
      <c r="I77" s="25">
        <f t="shared" si="15"/>
        <v>8</v>
      </c>
      <c r="J77" s="25">
        <f t="shared" si="16"/>
        <v>1680</v>
      </c>
      <c r="K77" s="37">
        <f t="shared" si="20"/>
        <v>24.90878575804668</v>
      </c>
      <c r="L77" s="38">
        <f t="shared" si="17"/>
        <v>306.75285937299941</v>
      </c>
      <c r="M77" s="34">
        <f t="shared" si="21"/>
        <v>0.36631506880228049</v>
      </c>
      <c r="N77" s="34">
        <f t="shared" si="23"/>
        <v>0.40294657568250852</v>
      </c>
      <c r="O77" s="34">
        <f t="shared" si="22"/>
        <v>0.32968356192205245</v>
      </c>
      <c r="P77" s="26"/>
    </row>
    <row r="78" spans="1:16">
      <c r="A78" s="25">
        <f t="shared" si="12"/>
        <v>9</v>
      </c>
      <c r="B78" s="30">
        <f t="shared" si="13"/>
        <v>1920</v>
      </c>
      <c r="C78" s="1">
        <v>42.14</v>
      </c>
      <c r="D78" s="33">
        <f t="shared" si="14"/>
        <v>366.72087420739751</v>
      </c>
      <c r="E78" s="25"/>
      <c r="F78" s="34">
        <f t="shared" si="18"/>
        <v>0.32272288824583167</v>
      </c>
      <c r="G78" s="36">
        <f t="shared" si="19"/>
        <v>5.5998372735745772</v>
      </c>
      <c r="H78" s="26"/>
      <c r="I78" s="25">
        <f t="shared" si="15"/>
        <v>9</v>
      </c>
      <c r="J78" s="25">
        <f t="shared" si="16"/>
        <v>1920</v>
      </c>
      <c r="K78" s="37">
        <f t="shared" si="20"/>
        <v>35.179962035078894</v>
      </c>
      <c r="L78" s="38">
        <f t="shared" si="17"/>
        <v>345.51659426196545</v>
      </c>
      <c r="M78" s="34">
        <f t="shared" si="21"/>
        <v>0.34186687705305396</v>
      </c>
      <c r="N78" s="34">
        <f t="shared" si="23"/>
        <v>0.37605356475835938</v>
      </c>
      <c r="O78" s="34">
        <f t="shared" si="22"/>
        <v>0.30768018934774855</v>
      </c>
      <c r="P78" s="26"/>
    </row>
    <row r="79" spans="1:16">
      <c r="A79" s="25">
        <f t="shared" si="12"/>
        <v>10</v>
      </c>
      <c r="B79" s="30">
        <f t="shared" si="13"/>
        <v>2160</v>
      </c>
      <c r="C79" s="1">
        <v>57.03</v>
      </c>
      <c r="D79" s="33">
        <f t="shared" si="14"/>
        <v>403.66545916115086</v>
      </c>
      <c r="E79" s="25"/>
      <c r="F79" s="34">
        <f t="shared" si="18"/>
        <v>0.30029242714530607</v>
      </c>
      <c r="G79" s="36">
        <f t="shared" si="19"/>
        <v>7.0277602858228887</v>
      </c>
      <c r="H79" s="26"/>
      <c r="I79" s="25">
        <f t="shared" si="15"/>
        <v>10</v>
      </c>
      <c r="J79" s="25">
        <f t="shared" si="16"/>
        <v>2160</v>
      </c>
      <c r="K79" s="37">
        <f t="shared" si="20"/>
        <v>48.731269026048459</v>
      </c>
      <c r="L79" s="38">
        <f t="shared" si="17"/>
        <v>384.28032915093138</v>
      </c>
      <c r="M79" s="34">
        <f t="shared" si="21"/>
        <v>0.32299149516940723</v>
      </c>
      <c r="N79" s="34">
        <f t="shared" si="23"/>
        <v>0.35529064468634797</v>
      </c>
      <c r="O79" s="34">
        <f t="shared" si="22"/>
        <v>0.29069234565246649</v>
      </c>
      <c r="P79" s="26"/>
    </row>
    <row r="80" spans="1:16">
      <c r="A80" s="25">
        <f t="shared" si="12"/>
        <v>11</v>
      </c>
      <c r="B80" s="30">
        <f t="shared" si="13"/>
        <v>2400</v>
      </c>
      <c r="C80" s="1">
        <v>74.88</v>
      </c>
      <c r="D80" s="33">
        <f t="shared" si="14"/>
        <v>438.28911876714824</v>
      </c>
      <c r="E80" s="25"/>
      <c r="F80" s="34">
        <f t="shared" si="18"/>
        <v>0.27063907209460986</v>
      </c>
      <c r="G80" s="36">
        <f t="shared" si="19"/>
        <v>12.178059517301199</v>
      </c>
      <c r="H80" s="26"/>
      <c r="I80" s="25">
        <f t="shared" si="15"/>
        <v>11</v>
      </c>
      <c r="J80" s="25">
        <f t="shared" si="16"/>
        <v>2400</v>
      </c>
      <c r="K80" s="37">
        <f t="shared" si="20"/>
        <v>66.484112962966435</v>
      </c>
      <c r="L80" s="38">
        <f t="shared" si="17"/>
        <v>423.04406403989731</v>
      </c>
      <c r="M80" s="34">
        <f t="shared" si="21"/>
        <v>0.3081679482451502</v>
      </c>
      <c r="N80" s="34">
        <f t="shared" si="23"/>
        <v>0.3389847430696652</v>
      </c>
      <c r="O80" s="34">
        <f t="shared" si="22"/>
        <v>0.27735115342063521</v>
      </c>
      <c r="P80" s="26"/>
    </row>
    <row r="81" spans="1:16">
      <c r="A81" s="25">
        <f t="shared" si="12"/>
        <v>12</v>
      </c>
      <c r="B81" s="30">
        <f t="shared" si="13"/>
        <v>2640</v>
      </c>
      <c r="C81" s="1">
        <v>98.76</v>
      </c>
      <c r="D81" s="33">
        <f t="shared" si="14"/>
        <v>474.69592242859682</v>
      </c>
      <c r="E81" s="25"/>
      <c r="F81" s="34">
        <f t="shared" si="18"/>
        <v>0.27505183137525929</v>
      </c>
      <c r="G81" s="36">
        <f t="shared" si="19"/>
        <v>7.1944782173710378</v>
      </c>
      <c r="H81" s="26"/>
      <c r="I81" s="25">
        <f t="shared" si="15"/>
        <v>12</v>
      </c>
      <c r="J81" s="25">
        <f t="shared" si="16"/>
        <v>2640</v>
      </c>
      <c r="K81" s="37">
        <f t="shared" si="20"/>
        <v>89.616180273250706</v>
      </c>
      <c r="L81" s="38">
        <f t="shared" si="17"/>
        <v>461.80779892886324</v>
      </c>
      <c r="M81" s="34">
        <f t="shared" si="21"/>
        <v>0.29637442481007914</v>
      </c>
      <c r="N81" s="34">
        <f t="shared" si="23"/>
        <v>0.32601186729108705</v>
      </c>
      <c r="O81" s="34">
        <f t="shared" si="22"/>
        <v>0.26673698232907123</v>
      </c>
      <c r="P81" s="26"/>
    </row>
    <row r="82" spans="1:16">
      <c r="A82" s="25">
        <f t="shared" si="12"/>
        <v>13</v>
      </c>
      <c r="B82" s="30">
        <f t="shared" si="13"/>
        <v>2880</v>
      </c>
      <c r="C82" s="1">
        <v>129.80000000000001</v>
      </c>
      <c r="D82" s="33">
        <f t="shared" si="14"/>
        <v>511.7162191226613</v>
      </c>
      <c r="E82" s="25"/>
      <c r="F82" s="34">
        <f t="shared" si="18"/>
        <v>0.27161358067903402</v>
      </c>
      <c r="G82" s="36">
        <f t="shared" si="19"/>
        <v>5.3283030989431808</v>
      </c>
      <c r="H82" s="26"/>
      <c r="I82" s="25">
        <f t="shared" si="15"/>
        <v>13</v>
      </c>
      <c r="J82" s="25">
        <f t="shared" si="16"/>
        <v>2880</v>
      </c>
      <c r="K82" s="37">
        <f t="shared" si="20"/>
        <v>119.63303325034158</v>
      </c>
      <c r="L82" s="38">
        <f t="shared" si="17"/>
        <v>500.57153381782928</v>
      </c>
      <c r="M82" s="34">
        <f t="shared" si="21"/>
        <v>0.28690050941296902</v>
      </c>
      <c r="N82" s="34">
        <f t="shared" si="23"/>
        <v>0.31559056035426591</v>
      </c>
      <c r="O82" s="34">
        <f t="shared" si="22"/>
        <v>0.25821045847167212</v>
      </c>
      <c r="P82" s="26"/>
    </row>
    <row r="83" spans="1:16">
      <c r="A83" s="25">
        <f t="shared" si="12"/>
        <v>14</v>
      </c>
      <c r="B83" s="30">
        <f t="shared" si="13"/>
        <v>3120</v>
      </c>
      <c r="C83" s="1">
        <v>169.6</v>
      </c>
      <c r="D83" s="33">
        <f t="shared" si="14"/>
        <v>548.85680928358192</v>
      </c>
      <c r="E83" s="25"/>
      <c r="F83" s="34">
        <f t="shared" si="18"/>
        <v>0.26586506346025374</v>
      </c>
      <c r="G83" s="36">
        <f t="shared" si="19"/>
        <v>4.7890278077234134</v>
      </c>
      <c r="H83" s="26"/>
      <c r="I83" s="25">
        <f t="shared" si="15"/>
        <v>14</v>
      </c>
      <c r="J83" s="25">
        <f t="shared" si="16"/>
        <v>3120</v>
      </c>
      <c r="K83" s="37">
        <f t="shared" si="20"/>
        <v>158.46009576848263</v>
      </c>
      <c r="L83" s="38">
        <f t="shared" si="17"/>
        <v>539.3352687067952</v>
      </c>
      <c r="M83" s="34">
        <f t="shared" si="21"/>
        <v>0.27923784133129609</v>
      </c>
      <c r="N83" s="34">
        <f t="shared" si="23"/>
        <v>0.30716162546442571</v>
      </c>
      <c r="O83" s="34">
        <f t="shared" si="22"/>
        <v>0.25131405719816646</v>
      </c>
      <c r="P83" s="26"/>
    </row>
    <row r="84" spans="1:16">
      <c r="A84" s="25">
        <f t="shared" si="12"/>
        <v>15</v>
      </c>
      <c r="B84" s="30">
        <f t="shared" si="13"/>
        <v>3360</v>
      </c>
      <c r="C84" s="1">
        <v>216.6</v>
      </c>
      <c r="D84" s="33">
        <f t="shared" si="14"/>
        <v>583.51842556522399</v>
      </c>
      <c r="E84" s="25"/>
      <c r="F84" s="34">
        <f t="shared" si="18"/>
        <v>0.24339720352149147</v>
      </c>
      <c r="G84" s="36">
        <f t="shared" si="19"/>
        <v>10.847952424178917</v>
      </c>
      <c r="H84" s="26"/>
      <c r="I84" s="25">
        <f t="shared" si="15"/>
        <v>15</v>
      </c>
      <c r="J84" s="25">
        <f t="shared" si="16"/>
        <v>3360</v>
      </c>
      <c r="K84" s="37">
        <f t="shared" si="20"/>
        <v>208.56096388167344</v>
      </c>
      <c r="L84" s="38">
        <f t="shared" si="17"/>
        <v>578.09900359576113</v>
      </c>
      <c r="M84" s="34">
        <f t="shared" si="21"/>
        <v>0.27301358761781619</v>
      </c>
      <c r="N84" s="34">
        <f t="shared" si="23"/>
        <v>0.30031494637959782</v>
      </c>
      <c r="O84" s="34">
        <f t="shared" si="22"/>
        <v>0.24571222885603455</v>
      </c>
      <c r="P84" s="26"/>
    </row>
    <row r="85" spans="1:16">
      <c r="A85" s="25">
        <f t="shared" si="12"/>
        <v>16</v>
      </c>
      <c r="B85" s="30">
        <f t="shared" si="13"/>
        <v>3600</v>
      </c>
      <c r="C85" s="1">
        <v>279.8</v>
      </c>
      <c r="D85" s="33">
        <f t="shared" si="14"/>
        <v>620.41171917914903</v>
      </c>
      <c r="E85" s="25"/>
      <c r="F85" s="34">
        <f t="shared" si="18"/>
        <v>0.2546333601933925</v>
      </c>
      <c r="G85" s="36">
        <f t="shared" si="19"/>
        <v>4.9692672045181965</v>
      </c>
      <c r="H85" s="26"/>
      <c r="I85" s="25">
        <f t="shared" si="15"/>
        <v>16</v>
      </c>
      <c r="J85" s="25">
        <f t="shared" si="16"/>
        <v>3600</v>
      </c>
      <c r="K85" s="37">
        <f t="shared" si="20"/>
        <v>273.08973972691064</v>
      </c>
      <c r="L85" s="38">
        <f t="shared" si="17"/>
        <v>616.86273848472717</v>
      </c>
      <c r="M85" s="34">
        <f t="shared" si="21"/>
        <v>0.26794843384128775</v>
      </c>
      <c r="N85" s="34">
        <f t="shared" si="23"/>
        <v>0.29474327722541654</v>
      </c>
      <c r="O85" s="34">
        <f t="shared" si="22"/>
        <v>0.24115359045715898</v>
      </c>
      <c r="P85" s="26"/>
    </row>
    <row r="86" spans="1:16">
      <c r="A86" s="25">
        <f t="shared" si="12"/>
        <v>17</v>
      </c>
      <c r="B86" s="30">
        <f t="shared" si="13"/>
        <v>3840</v>
      </c>
      <c r="C86" s="1">
        <v>363.2</v>
      </c>
      <c r="D86" s="33">
        <f t="shared" si="14"/>
        <v>658.55934816304364</v>
      </c>
      <c r="E86" s="25"/>
      <c r="F86" s="34">
        <f t="shared" si="18"/>
        <v>0.25940902021772932</v>
      </c>
      <c r="G86" s="36">
        <f t="shared" si="19"/>
        <v>1.6753935118740417</v>
      </c>
      <c r="H86" s="26"/>
      <c r="I86" s="25">
        <f t="shared" si="15"/>
        <v>17</v>
      </c>
      <c r="J86" s="25">
        <f t="shared" si="16"/>
        <v>3840</v>
      </c>
      <c r="K86" s="37">
        <f t="shared" si="20"/>
        <v>356.08738807569347</v>
      </c>
      <c r="L86" s="38">
        <f t="shared" si="17"/>
        <v>655.6264733736931</v>
      </c>
      <c r="M86" s="34">
        <f t="shared" si="21"/>
        <v>0.26382919747464895</v>
      </c>
      <c r="N86" s="34">
        <f t="shared" si="23"/>
        <v>0.29021211722211382</v>
      </c>
      <c r="O86" s="34">
        <f t="shared" si="22"/>
        <v>0.23744627772718405</v>
      </c>
      <c r="P86" s="26"/>
    </row>
    <row r="87" spans="1:16">
      <c r="A87" s="25">
        <f t="shared" si="12"/>
        <v>18</v>
      </c>
      <c r="B87" s="30">
        <f t="shared" si="13"/>
        <v>4080</v>
      </c>
      <c r="C87" s="1">
        <v>462.7</v>
      </c>
      <c r="D87" s="33">
        <f t="shared" si="14"/>
        <v>694.39020826265903</v>
      </c>
      <c r="E87" s="25"/>
      <c r="F87" s="34">
        <f t="shared" si="18"/>
        <v>0.2409492674657949</v>
      </c>
      <c r="G87" s="36">
        <f t="shared" si="19"/>
        <v>7.4751955673216468</v>
      </c>
      <c r="H87" s="26"/>
      <c r="I87" s="25">
        <f t="shared" si="15"/>
        <v>18</v>
      </c>
      <c r="J87" s="25">
        <f t="shared" si="16"/>
        <v>4080</v>
      </c>
      <c r="K87" s="35">
        <f>IF(C87="","",C87)</f>
        <v>462.7</v>
      </c>
      <c r="L87" s="38">
        <f>IF(C87="","",(71.498068+94.593053*LOG(K87,10)+41.912053*POWER(LOG(K87,10),2)+9.8247004*POWER(LOG(K87,10),3)+0.28175407*POWER(LOG(K87,10),4)-1.1878455*POWER(LOG(K87,10),5)-0.18014349*POWER(LOG(K87,10),6)+0.14710899*POWER(LOG(K87,10),7)-0.017046845*POWER(LOG(K87,10),8)))</f>
        <v>694.39020826265903</v>
      </c>
      <c r="M87" s="34">
        <f t="shared" si="21"/>
        <v>0.26041586247405812</v>
      </c>
      <c r="N87" s="34">
        <f t="shared" si="23"/>
        <v>0.28645744872146395</v>
      </c>
      <c r="O87" s="34">
        <f t="shared" si="22"/>
        <v>0.2343742762266523</v>
      </c>
      <c r="P87" s="26"/>
    </row>
    <row r="88" spans="1:16">
      <c r="A88" s="26"/>
      <c r="B88" s="26"/>
      <c r="C88" s="26"/>
      <c r="D88" s="26"/>
      <c r="E88" s="26"/>
      <c r="F88" s="26"/>
      <c r="G88" s="26"/>
      <c r="H88" s="26"/>
      <c r="I88" s="26"/>
      <c r="J88" s="26"/>
      <c r="K88" s="30"/>
      <c r="L88" s="26"/>
      <c r="M88" s="26"/>
      <c r="N88" s="51"/>
      <c r="O88" s="52"/>
      <c r="P88" s="26"/>
    </row>
    <row r="89" spans="1:16">
      <c r="K89" s="41"/>
      <c r="N89" s="42"/>
      <c r="O89" s="16"/>
    </row>
    <row r="90" spans="1:16" ht="15">
      <c r="A90" s="43" t="s">
        <v>16</v>
      </c>
      <c r="K90" s="42" t="s">
        <v>13</v>
      </c>
      <c r="L90" s="44"/>
      <c r="N90" s="42"/>
      <c r="O90" s="16"/>
    </row>
    <row r="91" spans="1:16">
      <c r="J91" s="45" t="s">
        <v>14</v>
      </c>
      <c r="K91" s="44">
        <f>IF(C87="","",(L87-L70)/J87)</f>
        <v>0.16151556203735815</v>
      </c>
      <c r="N91" s="42"/>
      <c r="O91" s="16"/>
    </row>
    <row r="92" spans="1:16">
      <c r="J92" s="45" t="s">
        <v>15</v>
      </c>
      <c r="K92" s="42">
        <f>IF(C70="","",L70)</f>
        <v>35.406715150237773</v>
      </c>
      <c r="L92" s="44"/>
      <c r="N92" s="42"/>
      <c r="O92" s="16"/>
    </row>
    <row r="93" spans="1:16">
      <c r="L93" s="16"/>
      <c r="N93" s="42"/>
      <c r="O93" s="16"/>
    </row>
    <row r="94" spans="1:16">
      <c r="J94" s="41"/>
      <c r="M94" s="42"/>
      <c r="N94" s="16"/>
    </row>
    <row r="118" spans="1:1" ht="15">
      <c r="A118" s="43" t="s">
        <v>17</v>
      </c>
    </row>
  </sheetData>
  <mergeCells count="9">
    <mergeCell ref="A6:B6"/>
    <mergeCell ref="N14:O14"/>
    <mergeCell ref="N67:O67"/>
    <mergeCell ref="I3:J4"/>
    <mergeCell ref="C4:D4"/>
    <mergeCell ref="K5:L5"/>
    <mergeCell ref="K6:L6"/>
    <mergeCell ref="I6:J6"/>
    <mergeCell ref="I5:J5"/>
  </mergeCells>
  <conditionalFormatting sqref="K5">
    <cfRule type="containsText" dxfId="91" priority="3" operator="containsText" text="Pass">
      <formula>NOT(ISERROR(SEARCH("Pass",K5)))</formula>
    </cfRule>
    <cfRule type="containsText" dxfId="90" priority="4" operator="containsText" text="Fail">
      <formula>NOT(ISERROR(SEARCH("Fail",K5)))</formula>
    </cfRule>
  </conditionalFormatting>
  <conditionalFormatting sqref="K6">
    <cfRule type="containsText" dxfId="89" priority="1" operator="containsText" text="Pass">
      <formula>NOT(ISERROR(SEARCH("Pass",K6)))</formula>
    </cfRule>
    <cfRule type="containsText" dxfId="88" priority="2" operator="containsText" text="Fail">
      <formula>NOT(ISERROR(SEARCH("Fail",K6)))</formula>
    </cfRule>
  </conditionalFormatting>
  <dataValidations count="1">
    <dataValidation type="list" allowBlank="1" showInputMessage="1" showErrorMessage="1" sqref="C4:D4">
      <formula1>"Mammografie, Diagnostisch, Review,"</formula1>
    </dataValidation>
  </dataValidations>
  <pageMargins left="0.75" right="0.75" top="0.47" bottom="0.49" header="0.5" footer="0.5"/>
  <pageSetup paperSize="9" orientation="portrait"/>
  <rowBreaks count="2" manualBreakCount="2">
    <brk id="63" max="16383" man="1"/>
    <brk id="113" max="16383" man="1"/>
  </rowBreak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7"/>
  <sheetViews>
    <sheetView workbookViewId="0">
      <selection activeCell="C4" sqref="C4:D4"/>
    </sheetView>
  </sheetViews>
  <sheetFormatPr defaultColWidth="10.85546875" defaultRowHeight="12.75"/>
  <cols>
    <col min="1" max="1" width="10.85546875" style="61"/>
    <col min="2" max="2" width="12.42578125" style="61" bestFit="1" customWidth="1"/>
    <col min="3" max="3" width="13.140625" style="61" customWidth="1"/>
    <col min="4" max="6" width="10.85546875" style="61"/>
    <col min="7" max="7" width="12.42578125" style="61" bestFit="1" customWidth="1"/>
    <col min="8" max="8" width="13.7109375" style="61" bestFit="1" customWidth="1"/>
    <col min="9" max="16384" width="10.85546875" style="61"/>
  </cols>
  <sheetData>
    <row r="1" spans="1:251" s="4" customFormat="1" ht="29.1" customHeight="1">
      <c r="A1" s="2" t="s">
        <v>125</v>
      </c>
      <c r="B1" s="3"/>
      <c r="C1" s="3"/>
      <c r="D1" s="3"/>
      <c r="E1" s="3"/>
      <c r="F1" s="3"/>
      <c r="G1" s="3"/>
      <c r="H1" s="3"/>
      <c r="I1" s="3"/>
      <c r="J1" s="3"/>
      <c r="K1" s="3"/>
    </row>
    <row r="2" spans="1:251" s="4" customFormat="1" ht="13.5" thickBot="1">
      <c r="A2" s="5"/>
    </row>
    <row r="3" spans="1:251" s="4" customFormat="1" ht="15.95" customHeight="1">
      <c r="A3" s="6" t="s">
        <v>20</v>
      </c>
      <c r="B3" s="7"/>
      <c r="C3" s="7"/>
      <c r="D3" s="7"/>
      <c r="H3" s="99" t="s">
        <v>24</v>
      </c>
      <c r="I3" s="100"/>
      <c r="J3" s="8"/>
      <c r="K3" s="9"/>
    </row>
    <row r="4" spans="1:251" s="4" customFormat="1" ht="12.95" customHeight="1">
      <c r="A4" s="10" t="s">
        <v>21</v>
      </c>
      <c r="B4" s="11"/>
      <c r="C4" s="190"/>
      <c r="D4" s="190"/>
      <c r="E4" s="11"/>
      <c r="F4" s="11"/>
      <c r="H4" s="101"/>
      <c r="I4" s="102"/>
      <c r="J4" s="12"/>
      <c r="K4" s="13"/>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H5" s="105" t="s">
        <v>22</v>
      </c>
      <c r="I5" s="106"/>
      <c r="J5" s="212" t="str">
        <f>IF(B26="","?",IF(MAX(G14,G15,G23,G24)&gt;C6,"Fail","Pass"))</f>
        <v>?</v>
      </c>
      <c r="K5" s="213"/>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94</v>
      </c>
      <c r="B6" s="209"/>
      <c r="C6" s="130">
        <f>IF(C4="Diagnostisch",0.2,IF(C4="Diagnostisch secundair",0.25,IF(C4="Review",0.25,IF(C4="Mammografie",0.15,10))))</f>
        <v>10</v>
      </c>
      <c r="H6" s="103" t="s">
        <v>23</v>
      </c>
      <c r="I6" s="104"/>
      <c r="J6" s="210" t="str">
        <f>IF(C26="","?",IF(MAX(H14,H15,H23,H24)&gt;D6,"Fail","Pass"))</f>
        <v>?</v>
      </c>
      <c r="K6" s="211"/>
    </row>
    <row r="8" spans="1:251" s="4" customFormat="1" ht="18" customHeight="1">
      <c r="A8" s="19" t="s">
        <v>41</v>
      </c>
      <c r="B8" s="20"/>
      <c r="C8" s="20"/>
      <c r="D8" s="20"/>
      <c r="E8" s="20"/>
      <c r="F8" s="20"/>
      <c r="G8" s="20"/>
      <c r="H8" s="21"/>
      <c r="I8" s="21"/>
      <c r="J8" s="21"/>
      <c r="K8" s="2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row>
    <row r="10" spans="1:251" s="108" customFormat="1" ht="15.75" customHeight="1">
      <c r="A10" s="128" t="s">
        <v>82</v>
      </c>
      <c r="B10" s="129"/>
      <c r="C10" s="129"/>
      <c r="D10" s="129"/>
      <c r="E10" s="54"/>
      <c r="F10" s="54"/>
      <c r="G10" s="54"/>
      <c r="H10" s="54"/>
      <c r="I10" s="54"/>
      <c r="J10" s="54"/>
      <c r="K10" s="54"/>
      <c r="L10" s="124"/>
      <c r="M10" s="124"/>
      <c r="N10" s="124"/>
      <c r="P10" s="109"/>
      <c r="Q10" s="110"/>
    </row>
    <row r="11" spans="1:251" s="108" customFormat="1">
      <c r="A11" s="54"/>
      <c r="B11" s="227"/>
      <c r="C11" s="227"/>
      <c r="D11" s="54"/>
      <c r="E11" s="54"/>
      <c r="F11" s="54"/>
      <c r="G11" s="54"/>
      <c r="H11" s="54"/>
      <c r="I11" s="54"/>
      <c r="J11" s="54"/>
      <c r="K11" s="54"/>
      <c r="L11" s="54"/>
      <c r="M11" s="54"/>
      <c r="N11" s="111"/>
      <c r="O11" s="110"/>
      <c r="P11" s="112"/>
      <c r="Q11" s="112"/>
    </row>
    <row r="12" spans="1:251" s="108" customFormat="1">
      <c r="A12" s="54"/>
      <c r="B12" s="113" t="s">
        <v>83</v>
      </c>
      <c r="C12" s="113" t="s">
        <v>84</v>
      </c>
      <c r="D12" s="67"/>
      <c r="E12" s="132" t="s">
        <v>24</v>
      </c>
      <c r="F12" s="12"/>
      <c r="G12" s="12"/>
      <c r="H12" s="12"/>
      <c r="I12" s="114"/>
      <c r="K12" s="114"/>
      <c r="M12" s="54"/>
      <c r="N12" s="115"/>
    </row>
    <row r="13" spans="1:251" s="108" customFormat="1" ht="15.75">
      <c r="A13" s="54" t="s">
        <v>85</v>
      </c>
      <c r="B13" s="116"/>
      <c r="C13" s="116"/>
      <c r="D13" s="54" t="s">
        <v>86</v>
      </c>
      <c r="E13" s="67"/>
      <c r="F13" s="67"/>
      <c r="G13" s="113" t="s">
        <v>83</v>
      </c>
      <c r="H13" s="114" t="s">
        <v>84</v>
      </c>
      <c r="I13" s="118"/>
      <c r="K13" s="118"/>
      <c r="M13" s="119"/>
      <c r="N13" s="120"/>
      <c r="O13" s="121"/>
      <c r="P13" s="121"/>
      <c r="Q13" s="121"/>
    </row>
    <row r="14" spans="1:251" s="108" customFormat="1" ht="12.75" customHeight="1">
      <c r="A14" s="54" t="s">
        <v>88</v>
      </c>
      <c r="B14" s="116"/>
      <c r="C14" s="116"/>
      <c r="D14" s="54" t="s">
        <v>86</v>
      </c>
      <c r="E14" s="117" t="s">
        <v>87</v>
      </c>
      <c r="F14" s="54"/>
      <c r="G14" s="131" t="str">
        <f>IF(B17="","",(MAX(B13:B17)-MIN(B13:B17))/(0.5*(MAX(B13:B17)+MIN(B13:B17))))</f>
        <v/>
      </c>
      <c r="H14" s="131" t="str">
        <f>IF(C17="","",(MAX(C13:C17)-MIN(C13:C17))/(0.5*(MAX(C13:C17)+MIN(C13:C17))))</f>
        <v/>
      </c>
      <c r="I14" s="118"/>
      <c r="K14" s="118"/>
      <c r="M14" s="122"/>
      <c r="N14" s="120"/>
      <c r="O14" s="121"/>
      <c r="P14" s="121"/>
      <c r="Q14" s="121"/>
    </row>
    <row r="15" spans="1:251" s="108" customFormat="1">
      <c r="A15" s="54" t="s">
        <v>90</v>
      </c>
      <c r="B15" s="116"/>
      <c r="C15" s="116"/>
      <c r="D15" s="54" t="s">
        <v>86</v>
      </c>
      <c r="E15" s="117" t="s">
        <v>89</v>
      </c>
      <c r="F15" s="54"/>
      <c r="G15" s="131" t="str">
        <f>IF(B17="","",(MAX(B13:B14,B16:B17)-MIN(B13:B14,B16:B17))/(0.5*(MAX(B13:B14,B16:B17)+MIN(B13:B14,B16:B17))))</f>
        <v/>
      </c>
      <c r="H15" s="131" t="str">
        <f>IF(C17="","",(MAX(C13:C14,C16:C17)-MIN(C13:C14,C16:C17))/(0.5*(MAX(C13:C14,C16:C17)+MIN(C13:C14,C16:C17))))</f>
        <v/>
      </c>
      <c r="I15" s="54"/>
      <c r="J15" s="54"/>
      <c r="K15" s="54"/>
      <c r="M15" s="54"/>
      <c r="N15" s="120"/>
      <c r="O15" s="121"/>
      <c r="P15" s="121"/>
      <c r="Q15" s="121"/>
    </row>
    <row r="16" spans="1:251" s="108" customFormat="1">
      <c r="A16" s="54" t="s">
        <v>91</v>
      </c>
      <c r="B16" s="116"/>
      <c r="C16" s="116"/>
      <c r="D16" s="54" t="s">
        <v>86</v>
      </c>
      <c r="E16" s="54"/>
      <c r="F16" s="54"/>
      <c r="G16" s="54"/>
      <c r="H16" s="54"/>
      <c r="I16" s="54"/>
      <c r="J16" s="54"/>
      <c r="K16" s="54"/>
      <c r="M16" s="54"/>
      <c r="N16" s="120"/>
      <c r="O16" s="121"/>
      <c r="P16" s="121"/>
      <c r="Q16" s="121"/>
    </row>
    <row r="17" spans="1:17" s="108" customFormat="1">
      <c r="A17" s="54" t="s">
        <v>92</v>
      </c>
      <c r="B17" s="116"/>
      <c r="C17" s="116"/>
      <c r="D17" s="54" t="s">
        <v>86</v>
      </c>
      <c r="E17" s="54"/>
      <c r="F17" s="54"/>
      <c r="G17" s="54"/>
      <c r="H17" s="54"/>
      <c r="I17" s="54"/>
      <c r="J17" s="54"/>
      <c r="K17" s="54"/>
      <c r="M17" s="54"/>
      <c r="N17" s="120"/>
      <c r="O17" s="121"/>
      <c r="P17" s="121"/>
      <c r="Q17" s="121"/>
    </row>
    <row r="18" spans="1:17" s="108" customFormat="1">
      <c r="A18" s="54"/>
      <c r="B18" s="54"/>
      <c r="C18" s="54"/>
      <c r="D18" s="54"/>
      <c r="E18" s="54"/>
      <c r="F18" s="54"/>
      <c r="G18" s="54"/>
      <c r="H18" s="54"/>
      <c r="I18" s="54"/>
      <c r="J18" s="54"/>
      <c r="K18" s="54"/>
      <c r="M18" s="54"/>
      <c r="N18" s="120"/>
      <c r="O18" s="121"/>
      <c r="P18" s="121"/>
      <c r="Q18" s="121"/>
    </row>
    <row r="19" spans="1:17" s="124" customFormat="1" ht="15.75" customHeight="1">
      <c r="A19" s="133" t="s">
        <v>93</v>
      </c>
      <c r="B19" s="134"/>
      <c r="C19" s="134"/>
      <c r="D19" s="134"/>
      <c r="E19" s="54"/>
      <c r="F19" s="54"/>
      <c r="G19" s="54"/>
      <c r="H19" s="54"/>
      <c r="I19" s="54"/>
      <c r="J19" s="54"/>
      <c r="K19" s="54"/>
      <c r="O19" s="123"/>
      <c r="P19" s="123"/>
      <c r="Q19" s="123"/>
    </row>
    <row r="20" spans="1:17" s="108" customFormat="1" ht="12.75" customHeight="1">
      <c r="A20" s="54"/>
      <c r="B20" s="227"/>
      <c r="C20" s="227"/>
      <c r="D20" s="54"/>
      <c r="E20" s="54"/>
      <c r="F20" s="54"/>
      <c r="G20" s="54"/>
      <c r="H20" s="54"/>
      <c r="I20" s="54"/>
      <c r="J20" s="54"/>
      <c r="K20" s="54"/>
      <c r="M20" s="54"/>
      <c r="N20" s="120"/>
      <c r="O20" s="121"/>
      <c r="P20" s="121"/>
      <c r="Q20" s="121"/>
    </row>
    <row r="21" spans="1:17" s="108" customFormat="1" ht="12.75" customHeight="1">
      <c r="A21" s="54"/>
      <c r="B21" s="113" t="s">
        <v>83</v>
      </c>
      <c r="C21" s="113" t="s">
        <v>84</v>
      </c>
      <c r="D21" s="67"/>
      <c r="E21" s="132" t="s">
        <v>24</v>
      </c>
      <c r="F21" s="132"/>
      <c r="G21" s="132"/>
      <c r="H21" s="132"/>
      <c r="I21" s="114"/>
      <c r="K21" s="114"/>
      <c r="M21" s="67"/>
      <c r="N21" s="120"/>
      <c r="O21" s="121"/>
      <c r="P21" s="121"/>
      <c r="Q21" s="121"/>
    </row>
    <row r="22" spans="1:17" s="108" customFormat="1" ht="12.75" customHeight="1">
      <c r="A22" s="54" t="s">
        <v>85</v>
      </c>
      <c r="B22" s="116"/>
      <c r="C22" s="116"/>
      <c r="D22" s="54" t="s">
        <v>86</v>
      </c>
      <c r="E22" s="67"/>
      <c r="F22" s="67"/>
      <c r="G22" s="113" t="s">
        <v>83</v>
      </c>
      <c r="H22" s="114" t="s">
        <v>84</v>
      </c>
      <c r="I22" s="118"/>
      <c r="K22" s="118"/>
      <c r="M22" s="54"/>
      <c r="N22" s="120"/>
      <c r="O22" s="121"/>
      <c r="P22" s="121"/>
      <c r="Q22" s="121"/>
    </row>
    <row r="23" spans="1:17" s="125" customFormat="1" ht="12.75" customHeight="1">
      <c r="A23" s="54" t="s">
        <v>88</v>
      </c>
      <c r="B23" s="116"/>
      <c r="C23" s="116"/>
      <c r="D23" s="54" t="s">
        <v>86</v>
      </c>
      <c r="E23" s="117" t="s">
        <v>87</v>
      </c>
      <c r="F23" s="54"/>
      <c r="G23" s="131" t="str">
        <f>IF(B26="","",(MAX(B22:B26)-MIN(B22:B26))/(0.5*(MAX(B22:B26)+MIN(B22:B26))))</f>
        <v/>
      </c>
      <c r="H23" s="131" t="str">
        <f>IF(C26="","",(MAX(C22:C26)-MIN(C22:C26))/(0.5*(MAX(C22:C26)+MIN(C22:C26))))</f>
        <v/>
      </c>
      <c r="I23" s="118"/>
      <c r="K23" s="118"/>
      <c r="M23" s="54"/>
      <c r="N23" s="120"/>
      <c r="O23" s="121"/>
      <c r="P23" s="121"/>
      <c r="Q23" s="121"/>
    </row>
    <row r="24" spans="1:17" s="108" customFormat="1">
      <c r="A24" s="54" t="s">
        <v>90</v>
      </c>
      <c r="B24" s="116"/>
      <c r="C24" s="116"/>
      <c r="D24" s="54" t="s">
        <v>86</v>
      </c>
      <c r="E24" s="117" t="s">
        <v>89</v>
      </c>
      <c r="F24" s="54"/>
      <c r="G24" s="131" t="str">
        <f>IF(B26="","",(MAX(B22:B23,B25:B26)-MIN(B22:B23,B25:B26))/(0.5*(MAX(B22:B23,B25:B26)+MIN(B22:B23,B25:B26))))</f>
        <v/>
      </c>
      <c r="H24" s="131" t="str">
        <f>IF(C26="","",(MAX(C22:C23,C25:C26)-MIN(C22:C23,C25:C26))/(0.5*(MAX(C22:C23,C25:C26)+MIN(C22:C23,C25:C26))))</f>
        <v/>
      </c>
      <c r="I24" s="54"/>
      <c r="J24" s="54"/>
      <c r="K24" s="54"/>
      <c r="L24" s="54"/>
      <c r="M24" s="54"/>
      <c r="N24" s="120"/>
      <c r="O24" s="121"/>
      <c r="P24" s="121"/>
      <c r="Q24" s="121"/>
    </row>
    <row r="25" spans="1:17" s="108" customFormat="1">
      <c r="A25" s="54" t="s">
        <v>91</v>
      </c>
      <c r="B25" s="116"/>
      <c r="C25" s="116"/>
      <c r="D25" s="54" t="s">
        <v>86</v>
      </c>
      <c r="E25" s="54"/>
      <c r="F25" s="54"/>
      <c r="G25" s="54"/>
      <c r="H25" s="54"/>
      <c r="I25" s="54"/>
      <c r="J25" s="54"/>
      <c r="K25" s="54"/>
      <c r="L25" s="54"/>
      <c r="M25" s="54"/>
      <c r="N25" s="120"/>
      <c r="O25" s="121"/>
      <c r="P25" s="121"/>
      <c r="Q25" s="121"/>
    </row>
    <row r="26" spans="1:17" s="108" customFormat="1" ht="12.75" customHeight="1">
      <c r="A26" s="54" t="s">
        <v>92</v>
      </c>
      <c r="B26" s="116"/>
      <c r="C26" s="116"/>
      <c r="D26" s="54" t="s">
        <v>86</v>
      </c>
      <c r="E26" s="54"/>
      <c r="F26" s="54"/>
      <c r="G26" s="54"/>
      <c r="H26" s="54"/>
      <c r="I26" s="54"/>
      <c r="J26" s="54"/>
      <c r="K26" s="54"/>
      <c r="L26" s="54"/>
      <c r="M26" s="54"/>
      <c r="N26" s="120"/>
      <c r="O26" s="121"/>
      <c r="P26" s="121"/>
      <c r="Q26" s="121"/>
    </row>
    <row r="27" spans="1:17" s="108" customFormat="1" ht="19.5" customHeight="1">
      <c r="A27" s="126"/>
      <c r="B27" s="127"/>
      <c r="C27" s="127"/>
      <c r="D27" s="127"/>
      <c r="E27" s="127"/>
      <c r="F27" s="127"/>
      <c r="G27" s="127"/>
      <c r="H27" s="127"/>
      <c r="I27" s="127"/>
      <c r="J27" s="127"/>
      <c r="K27" s="127"/>
      <c r="L27" s="127"/>
      <c r="M27" s="127"/>
      <c r="N27" s="54"/>
    </row>
  </sheetData>
  <mergeCells count="6">
    <mergeCell ref="B11:C11"/>
    <mergeCell ref="B20:C20"/>
    <mergeCell ref="J5:K5"/>
    <mergeCell ref="J6:K6"/>
    <mergeCell ref="C4:D4"/>
    <mergeCell ref="A6:B6"/>
  </mergeCells>
  <conditionalFormatting sqref="K13:K14 I13:I14 K22:K23 I22:I23">
    <cfRule type="cellIs" dxfId="87" priority="15" stopIfTrue="1" operator="equal">
      <formula>"pass"</formula>
    </cfRule>
    <cfRule type="cellIs" dxfId="86" priority="16" stopIfTrue="1" operator="equal">
      <formula>"false"</formula>
    </cfRule>
  </conditionalFormatting>
  <conditionalFormatting sqref="G14">
    <cfRule type="cellIs" dxfId="85" priority="14" operator="greaterThan">
      <formula>$C$6</formula>
    </cfRule>
  </conditionalFormatting>
  <conditionalFormatting sqref="G15">
    <cfRule type="cellIs" dxfId="84" priority="13" operator="greaterThan">
      <formula>$C$6</formula>
    </cfRule>
  </conditionalFormatting>
  <conditionalFormatting sqref="H14">
    <cfRule type="cellIs" dxfId="83" priority="12" operator="greaterThan">
      <formula>$C$6</formula>
    </cfRule>
  </conditionalFormatting>
  <conditionalFormatting sqref="H15">
    <cfRule type="cellIs" dxfId="82" priority="11" operator="greaterThan">
      <formula>$C$6</formula>
    </cfRule>
  </conditionalFormatting>
  <conditionalFormatting sqref="G23">
    <cfRule type="cellIs" dxfId="81" priority="10" operator="greaterThan">
      <formula>$C$6</formula>
    </cfRule>
  </conditionalFormatting>
  <conditionalFormatting sqref="G24">
    <cfRule type="cellIs" dxfId="80" priority="9" operator="greaterThan">
      <formula>$C$6</formula>
    </cfRule>
  </conditionalFormatting>
  <conditionalFormatting sqref="H23">
    <cfRule type="cellIs" dxfId="79" priority="8" operator="greaterThan">
      <formula>$C$6</formula>
    </cfRule>
  </conditionalFormatting>
  <conditionalFormatting sqref="H24">
    <cfRule type="cellIs" dxfId="78" priority="7" operator="greaterThan">
      <formula>$C$6</formula>
    </cfRule>
  </conditionalFormatting>
  <conditionalFormatting sqref="J5">
    <cfRule type="containsText" dxfId="77" priority="5" operator="containsText" text="Pass">
      <formula>NOT(ISERROR(SEARCH("Pass",J5)))</formula>
    </cfRule>
    <cfRule type="containsText" dxfId="76" priority="6" operator="containsText" text="Fail">
      <formula>NOT(ISERROR(SEARCH("Fail",J5)))</formula>
    </cfRule>
  </conditionalFormatting>
  <conditionalFormatting sqref="J6">
    <cfRule type="containsText" dxfId="75" priority="1" operator="containsText" text="Pass">
      <formula>NOT(ISERROR(SEARCH("Pass",J6)))</formula>
    </cfRule>
    <cfRule type="containsText" dxfId="74" priority="2" operator="containsText" text="Fail">
      <formula>NOT(ISERROR(SEARCH("Fail",J6)))</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2"/>
  <sheetViews>
    <sheetView workbookViewId="0">
      <selection activeCell="C4" sqref="C4:D4"/>
    </sheetView>
  </sheetViews>
  <sheetFormatPr defaultColWidth="10.85546875" defaultRowHeight="12.75"/>
  <cols>
    <col min="1" max="16384" width="10.85546875" style="61"/>
  </cols>
  <sheetData>
    <row r="1" spans="1:251" s="4" customFormat="1" ht="29.1" customHeight="1">
      <c r="A1" s="2" t="s">
        <v>165</v>
      </c>
      <c r="B1" s="3"/>
      <c r="C1" s="3"/>
      <c r="D1" s="3"/>
      <c r="E1" s="3"/>
      <c r="F1" s="3"/>
      <c r="G1" s="3"/>
      <c r="H1" s="3"/>
      <c r="I1" s="3"/>
      <c r="J1" s="3"/>
      <c r="K1" s="3"/>
    </row>
    <row r="2" spans="1:251" s="4" customFormat="1" ht="13.5" thickBot="1">
      <c r="A2" s="5"/>
    </row>
    <row r="3" spans="1:251" s="4" customFormat="1" ht="15.95" customHeight="1">
      <c r="A3" s="6" t="s">
        <v>20</v>
      </c>
      <c r="B3" s="7"/>
      <c r="C3" s="7"/>
      <c r="D3" s="7"/>
      <c r="I3" s="201" t="s">
        <v>24</v>
      </c>
      <c r="J3" s="202"/>
    </row>
    <row r="4" spans="1:251" s="4" customFormat="1">
      <c r="A4" s="10" t="s">
        <v>21</v>
      </c>
      <c r="B4" s="11"/>
      <c r="C4" s="190"/>
      <c r="D4" s="190"/>
      <c r="E4" s="11"/>
      <c r="F4" s="11"/>
      <c r="I4" s="203"/>
      <c r="J4" s="20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row>
    <row r="5" spans="1:251" s="4" customFormat="1" ht="12.95" customHeight="1">
      <c r="A5" s="10"/>
      <c r="B5" s="11"/>
      <c r="C5" s="11"/>
      <c r="D5" s="11"/>
      <c r="E5" s="11"/>
      <c r="F5" s="11"/>
      <c r="I5" s="205" t="str">
        <f>IF(H12="&lt;&lt; kies &gt;&gt;","?",IF(H13="&lt;&lt; kies &gt;&gt;","?",IF(H14="&lt;&lt; kies &gt;&gt;","?",IF(H20="Ja",H16,IF(H20="Nee",H22,H16)))))</f>
        <v>?</v>
      </c>
      <c r="J5" s="206"/>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row>
    <row r="6" spans="1:251" s="4" customFormat="1" ht="15.95" customHeight="1" thickBot="1">
      <c r="A6" s="209" t="s">
        <v>42</v>
      </c>
      <c r="B6" s="209"/>
      <c r="C6" s="4" t="s">
        <v>80</v>
      </c>
      <c r="I6" s="207"/>
      <c r="J6" s="208"/>
    </row>
    <row r="8" spans="1:251" s="4" customFormat="1" ht="18" customHeight="1">
      <c r="A8" s="19" t="s">
        <v>41</v>
      </c>
      <c r="B8" s="20"/>
      <c r="C8" s="20"/>
      <c r="D8" s="20"/>
      <c r="E8" s="20"/>
      <c r="F8" s="20"/>
      <c r="G8" s="20"/>
      <c r="H8" s="21"/>
      <c r="I8" s="21"/>
      <c r="J8" s="21"/>
      <c r="K8" s="2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row>
    <row r="10" spans="1:251" ht="15">
      <c r="A10" s="230" t="s">
        <v>76</v>
      </c>
      <c r="B10" s="230"/>
      <c r="C10" s="230"/>
      <c r="D10" s="230"/>
      <c r="E10" s="230"/>
      <c r="F10" s="230"/>
      <c r="G10" s="230"/>
      <c r="H10" s="230"/>
      <c r="I10" s="230"/>
      <c r="J10" s="230"/>
      <c r="K10" s="230"/>
      <c r="L10" s="4"/>
      <c r="M10" s="4"/>
      <c r="N10" s="4"/>
    </row>
    <row r="11" spans="1:251" ht="14.25">
      <c r="A11" s="91" t="s">
        <v>30</v>
      </c>
      <c r="B11" s="91"/>
      <c r="C11" s="91"/>
      <c r="D11" s="4"/>
      <c r="E11" s="4"/>
      <c r="F11" s="4"/>
      <c r="G11" s="4"/>
      <c r="H11" s="92" t="s">
        <v>24</v>
      </c>
      <c r="I11" s="231" t="s">
        <v>31</v>
      </c>
      <c r="J11" s="231"/>
      <c r="K11" s="231"/>
      <c r="L11" s="4"/>
      <c r="M11" s="4"/>
      <c r="N11" s="4"/>
    </row>
    <row r="12" spans="1:251" ht="39.950000000000003" customHeight="1">
      <c r="A12" s="232" t="s">
        <v>157</v>
      </c>
      <c r="B12" s="232"/>
      <c r="C12" s="232"/>
      <c r="D12" s="232"/>
      <c r="E12" s="232"/>
      <c r="F12" s="232"/>
      <c r="G12" s="232"/>
      <c r="H12" s="62" t="s">
        <v>33</v>
      </c>
      <c r="I12" s="229"/>
      <c r="J12" s="229"/>
      <c r="K12" s="229"/>
      <c r="L12" s="97"/>
      <c r="M12" s="97"/>
      <c r="N12" s="97"/>
    </row>
    <row r="13" spans="1:251" ht="39.950000000000003" customHeight="1">
      <c r="A13" s="233" t="s">
        <v>158</v>
      </c>
      <c r="B13" s="233"/>
      <c r="C13" s="233"/>
      <c r="D13" s="233"/>
      <c r="E13" s="233"/>
      <c r="F13" s="233"/>
      <c r="G13" s="233"/>
      <c r="H13" s="62" t="s">
        <v>33</v>
      </c>
      <c r="I13" s="234"/>
      <c r="J13" s="234"/>
      <c r="K13" s="234"/>
      <c r="L13" s="234"/>
      <c r="M13" s="234"/>
      <c r="N13" s="234"/>
    </row>
    <row r="14" spans="1:251" ht="39.950000000000003" customHeight="1">
      <c r="A14" s="232" t="s">
        <v>77</v>
      </c>
      <c r="B14" s="232"/>
      <c r="C14" s="232"/>
      <c r="D14" s="232"/>
      <c r="E14" s="232"/>
      <c r="F14" s="232"/>
      <c r="G14" s="232"/>
      <c r="H14" s="62" t="s">
        <v>33</v>
      </c>
      <c r="I14" s="229"/>
      <c r="J14" s="229"/>
      <c r="K14" s="229"/>
      <c r="L14" s="97"/>
      <c r="M14" s="97"/>
      <c r="N14" s="97"/>
    </row>
    <row r="15" spans="1:251" ht="14.25">
      <c r="A15" s="93"/>
      <c r="B15" s="93"/>
      <c r="C15" s="93"/>
      <c r="D15" s="93"/>
      <c r="E15" s="93"/>
      <c r="F15" s="93"/>
      <c r="G15" s="93"/>
      <c r="H15" s="93"/>
      <c r="I15" s="93"/>
      <c r="J15" s="93"/>
      <c r="K15" s="93"/>
      <c r="L15" s="93"/>
      <c r="M15" s="93"/>
      <c r="N15" s="93"/>
    </row>
    <row r="16" spans="1:251" ht="15.75">
      <c r="A16" s="91"/>
      <c r="B16" s="91"/>
      <c r="C16" s="91"/>
      <c r="D16" s="91"/>
      <c r="E16" s="91"/>
      <c r="F16" s="228" t="s">
        <v>40</v>
      </c>
      <c r="G16" s="228"/>
      <c r="H16" s="94" t="str">
        <f>IF(H12="&lt;&lt; kies &gt;&gt;","?",IF(H13="&lt;&lt; kies &gt;&gt;","?",IF(H14="&lt;&lt; kies &gt;&gt;","?",IF(H12="Nee",IF(H13="Nee",IF(H14="Nee","Pass","Fail"),"Fail"),"Fail"))))</f>
        <v>?</v>
      </c>
      <c r="I16" s="91"/>
      <c r="J16" s="91"/>
      <c r="K16" s="91"/>
      <c r="L16" s="4"/>
      <c r="M16" s="4"/>
      <c r="N16" s="4"/>
    </row>
    <row r="17" spans="1:14" ht="14.25">
      <c r="A17" s="95"/>
      <c r="B17" s="95"/>
      <c r="C17" s="95"/>
      <c r="D17" s="95"/>
      <c r="E17" s="95"/>
      <c r="F17" s="95"/>
      <c r="G17" s="95"/>
      <c r="H17" s="96"/>
      <c r="I17" s="95"/>
      <c r="J17" s="95"/>
      <c r="K17" s="95"/>
      <c r="L17" s="95"/>
      <c r="M17" s="95"/>
      <c r="N17" s="95"/>
    </row>
    <row r="18" spans="1:14" ht="15">
      <c r="A18" s="230" t="s">
        <v>78</v>
      </c>
      <c r="B18" s="230"/>
      <c r="C18" s="230"/>
      <c r="D18" s="230"/>
      <c r="E18" s="230"/>
      <c r="F18" s="230"/>
      <c r="G18" s="230"/>
      <c r="H18" s="230"/>
      <c r="I18" s="230"/>
      <c r="J18" s="230"/>
      <c r="K18" s="230"/>
      <c r="L18" s="4"/>
      <c r="M18" s="4"/>
      <c r="N18" s="4"/>
    </row>
    <row r="19" spans="1:14" ht="14.25">
      <c r="A19" s="91" t="s">
        <v>30</v>
      </c>
      <c r="B19" s="91"/>
      <c r="C19" s="91"/>
      <c r="D19" s="4"/>
      <c r="E19" s="4"/>
      <c r="F19" s="4"/>
      <c r="G19" s="4"/>
      <c r="H19" s="92" t="s">
        <v>24</v>
      </c>
      <c r="I19" s="231" t="s">
        <v>79</v>
      </c>
      <c r="J19" s="231"/>
      <c r="K19" s="231"/>
      <c r="L19" s="4"/>
      <c r="M19" s="4"/>
      <c r="N19" s="4"/>
    </row>
    <row r="20" spans="1:14" ht="39.950000000000003" customHeight="1">
      <c r="A20" s="232" t="s">
        <v>159</v>
      </c>
      <c r="B20" s="232"/>
      <c r="C20" s="232"/>
      <c r="D20" s="232"/>
      <c r="E20" s="232"/>
      <c r="F20" s="232"/>
      <c r="G20" s="232"/>
      <c r="H20" s="62" t="s">
        <v>33</v>
      </c>
      <c r="I20" s="229"/>
      <c r="J20" s="229"/>
      <c r="K20" s="229"/>
      <c r="L20" s="97"/>
      <c r="M20" s="97"/>
      <c r="N20" s="97"/>
    </row>
    <row r="21" spans="1:14" ht="14.25">
      <c r="A21" s="93"/>
      <c r="B21" s="93"/>
      <c r="C21" s="93"/>
      <c r="D21" s="93"/>
      <c r="E21" s="93"/>
      <c r="F21" s="93"/>
      <c r="G21" s="93"/>
      <c r="H21" s="93"/>
      <c r="I21" s="93"/>
      <c r="J21" s="93"/>
      <c r="K21" s="93"/>
      <c r="L21" s="93"/>
      <c r="M21" s="93"/>
      <c r="N21" s="93"/>
    </row>
    <row r="22" spans="1:14" ht="15.75">
      <c r="A22" s="91"/>
      <c r="B22" s="91"/>
      <c r="C22" s="91"/>
      <c r="D22" s="91"/>
      <c r="E22" s="91"/>
      <c r="F22" s="228" t="s">
        <v>40</v>
      </c>
      <c r="G22" s="228"/>
      <c r="H22" s="94" t="str">
        <f>IF(H20="&lt;&lt; kies &gt;&gt;","?",IF(H20="Nee","Pass","Fail"))</f>
        <v>?</v>
      </c>
      <c r="I22" s="91"/>
      <c r="J22" s="91"/>
      <c r="K22" s="91"/>
      <c r="L22" s="4"/>
      <c r="M22" s="4"/>
      <c r="N22" s="4"/>
    </row>
  </sheetData>
  <mergeCells count="18">
    <mergeCell ref="I3:J4"/>
    <mergeCell ref="C4:D4"/>
    <mergeCell ref="I5:J6"/>
    <mergeCell ref="A6:B6"/>
    <mergeCell ref="I14:K14"/>
    <mergeCell ref="I12:K12"/>
    <mergeCell ref="A14:G14"/>
    <mergeCell ref="A10:K10"/>
    <mergeCell ref="I11:K11"/>
    <mergeCell ref="A12:G12"/>
    <mergeCell ref="A13:G13"/>
    <mergeCell ref="I13:N13"/>
    <mergeCell ref="F22:G22"/>
    <mergeCell ref="I20:K20"/>
    <mergeCell ref="F16:G16"/>
    <mergeCell ref="A18:K18"/>
    <mergeCell ref="I19:K19"/>
    <mergeCell ref="A20:G20"/>
  </mergeCells>
  <conditionalFormatting sqref="H16 H22">
    <cfRule type="cellIs" dxfId="73" priority="21" stopIfTrue="1" operator="equal">
      <formula>"Fail"</formula>
    </cfRule>
    <cfRule type="cellIs" dxfId="72" priority="22" stopIfTrue="1" operator="equal">
      <formula>"Pass"</formula>
    </cfRule>
  </conditionalFormatting>
  <conditionalFormatting sqref="I5:J6">
    <cfRule type="containsText" dxfId="71" priority="15" operator="containsText" text="Pass">
      <formula>NOT(ISERROR(SEARCH("Pass",I5)))</formula>
    </cfRule>
    <cfRule type="containsText" dxfId="70" priority="16" operator="containsText" text="Fail">
      <formula>NOT(ISERROR(SEARCH("Fail",I5)))</formula>
    </cfRule>
  </conditionalFormatting>
  <conditionalFormatting sqref="H12">
    <cfRule type="cellIs" dxfId="69" priority="13" stopIfTrue="1" operator="equal">
      <formula>"Ja"</formula>
    </cfRule>
    <cfRule type="cellIs" dxfId="68" priority="14" stopIfTrue="1" operator="equal">
      <formula>"Nee"</formula>
    </cfRule>
  </conditionalFormatting>
  <conditionalFormatting sqref="H13">
    <cfRule type="cellIs" dxfId="67" priority="11" stopIfTrue="1" operator="equal">
      <formula>"Ja"</formula>
    </cfRule>
    <cfRule type="cellIs" dxfId="66" priority="12" stopIfTrue="1" operator="equal">
      <formula>"Nee"</formula>
    </cfRule>
  </conditionalFormatting>
  <conditionalFormatting sqref="H14">
    <cfRule type="cellIs" dxfId="65" priority="3" stopIfTrue="1" operator="equal">
      <formula>"Ja"</formula>
    </cfRule>
    <cfRule type="cellIs" dxfId="64" priority="4" stopIfTrue="1" operator="equal">
      <formula>"Nee"</formula>
    </cfRule>
  </conditionalFormatting>
  <conditionalFormatting sqref="H20">
    <cfRule type="cellIs" dxfId="63" priority="1" stopIfTrue="1" operator="equal">
      <formula>"Ja"</formula>
    </cfRule>
    <cfRule type="cellIs" dxfId="62" priority="2" stopIfTrue="1" operator="equal">
      <formula>"Nee"</formula>
    </cfRule>
  </conditionalFormatting>
  <dataValidations count="2">
    <dataValidation type="list" allowBlank="1" showInputMessage="1" showErrorMessage="1" sqref="H20 H17 H12:H14">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14</vt:i4>
      </vt:variant>
    </vt:vector>
  </HeadingPairs>
  <TitlesOfParts>
    <vt:vector size="14" baseType="lpstr">
      <vt:lpstr>Voorblad</vt:lpstr>
      <vt:lpstr>Algemeen</vt:lpstr>
      <vt:lpstr>§5.1 Omgevingslicht</vt:lpstr>
      <vt:lpstr>§5.2 Globale evaluatie LINKS</vt:lpstr>
      <vt:lpstr>§5.2 Globale evaluatie RECHTS</vt:lpstr>
      <vt:lpstr>§5.3 Lmax en Lmin</vt:lpstr>
      <vt:lpstr>§5.4 Luminance response (GSDF)</vt:lpstr>
      <vt:lpstr>§5.5 Niet-uniformiteit</vt:lpstr>
      <vt:lpstr>§5.6 Kleuruniformiteit LINKS</vt:lpstr>
      <vt:lpstr>§5.6 Kleuruniformiteit RECHTS</vt:lpstr>
      <vt:lpstr>§5.7 Pixel fout evaluatie LINKS</vt:lpstr>
      <vt:lpstr>§5.7 Pixel fout evaluatie RECHT</vt:lpstr>
      <vt:lpstr>§5.8 Display resolution LINKS</vt:lpstr>
      <vt:lpstr>§5.8 Display resolution RECHTS</vt:lpstr>
    </vt:vector>
  </TitlesOfParts>
  <Company>LUMC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Jurgen Mourik</dc:creator>
  <cp:lastModifiedBy> </cp:lastModifiedBy>
  <dcterms:created xsi:type="dcterms:W3CDTF">2013-07-02T13:18:47Z</dcterms:created>
  <dcterms:modified xsi:type="dcterms:W3CDTF">2019-10-07T10:47:06Z</dcterms:modified>
</cp:coreProperties>
</file>